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qLMY8+eP+LJnAaf0dcNbnxarH8fkAFw+11Brf1MqQns5kiq3Sjt0kLdiffctJXtwnovLx1ME135l/jcvPERMw==" workbookSaltValue="cWlAOmNiG5J3/0aMb/NZ9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H20" i="20"/>
  <c r="E20" i="20"/>
  <c r="P20" i="20"/>
  <c r="AQ20" i="20"/>
  <c r="AK20" i="20"/>
  <c r="AQ20" i="21"/>
  <c r="AI20" i="20"/>
  <c r="AF20" i="20"/>
  <c r="AX20" i="20"/>
  <c r="AZ20" i="20"/>
  <c r="AG20" i="20"/>
  <c r="AC20" i="20"/>
  <c r="Q20" i="20"/>
  <c r="U10" i="11"/>
  <c r="Z20" i="20"/>
  <c r="AA20" i="20"/>
  <c r="M20" i="20"/>
  <c r="F20" i="20"/>
  <c r="O20" i="20"/>
  <c r="AU20" i="20"/>
  <c r="W20" i="21"/>
  <c r="X20" i="20"/>
  <c r="AH20" i="20"/>
  <c r="AN20" i="20"/>
  <c r="AM20" i="20"/>
  <c r="I20" i="20"/>
  <c r="K20" i="20"/>
  <c r="N20" i="20"/>
  <c r="U12" i="11"/>
  <c r="W20" i="20"/>
  <c r="L20" i="20"/>
  <c r="U16" i="11"/>
  <c r="F17" i="16" l="1"/>
  <c r="BL17" i="16" s="1"/>
  <c r="AC19" i="8"/>
  <c r="AK19" i="8"/>
  <c r="AA19" i="8"/>
  <c r="AI19" i="8"/>
  <c r="R19" i="8"/>
  <c r="BE12" i="8"/>
  <c r="I12" i="7" s="1"/>
  <c r="BG12" i="8"/>
  <c r="S13" i="12"/>
  <c r="T19" i="8"/>
  <c r="BG10" i="8"/>
  <c r="K10" i="7" s="1"/>
  <c r="I10" i="3"/>
  <c r="M13" i="2"/>
  <c r="H9" i="7"/>
  <c r="C12" i="14"/>
  <c r="K12" i="14" s="1"/>
  <c r="F17" i="17"/>
  <c r="AQ17" i="17" s="1"/>
  <c r="E12" i="6"/>
  <c r="BH15" i="16"/>
  <c r="T17" i="11"/>
  <c r="BJ17" i="11"/>
  <c r="V11" i="16"/>
  <c r="BL12" i="11"/>
  <c r="X11" i="17"/>
  <c r="V17" i="16"/>
  <c r="Q10" i="21"/>
  <c r="BJ12" i="11"/>
  <c r="BK17" i="11"/>
  <c r="BV17" i="16"/>
  <c r="BV11" i="16"/>
  <c r="V12" i="16"/>
  <c r="AZ12" i="11"/>
  <c r="BH10" i="11"/>
  <c r="S10" i="17"/>
  <c r="BF15" i="11"/>
  <c r="BL16" i="11"/>
  <c r="S15" i="17"/>
  <c r="L9" i="2"/>
  <c r="BH9" i="16"/>
  <c r="BF16" i="11"/>
  <c r="V11" i="11"/>
  <c r="BI15" i="11"/>
  <c r="BG15" i="11"/>
  <c r="T15" i="16"/>
  <c r="BV12" i="16"/>
  <c r="U10" i="17"/>
  <c r="AA16" i="16"/>
  <c r="BG12" i="11"/>
  <c r="AQ10" i="21"/>
  <c r="Q15" i="17"/>
  <c r="AQ12" i="21"/>
  <c r="X10" i="21"/>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J12" i="12" l="1"/>
  <c r="K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<sst xmlns="http://schemas.openxmlformats.org/spreadsheetml/2006/main" count="2094" uniqueCount="913">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</sst>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dYIzo7SoWOxPICk0Y2Qtn5qy4Z5ykXYYWp25EE+3KRIWc/COAnp8wgf2AZiBkh9l9JVlbmYJhD9SIc52AisGw==" saltValue="I3WKmYtbHcob1o1yUxRr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81</v>
      </c>
      <c r="D10" s="228">
        <f>IF(ISNUMBER(Datos!I10),Datos!I10," - ")</f>
        <v>81</v>
      </c>
      <c r="E10" s="229">
        <f>IF(ISNUMBER(Datos!J10),Datos!J10," - ")</f>
        <v>23</v>
      </c>
      <c r="F10" s="229">
        <f>IF(ISNUMBER(Datos!K10),Datos!K10," - ")</f>
        <v>15</v>
      </c>
      <c r="G10" s="1037" t="str">
        <f>IF(Datos!E10&lt;&gt;"",Datos!E10,Datos!D10)</f>
        <v>37</v>
      </c>
      <c r="H10" s="230">
        <f>IF(ISNUMBER(Datos!L10),Datos!L10," - ")</f>
        <v>89</v>
      </c>
      <c r="I10" s="1047" t="str">
        <f>IF(ISNUMBER(Datos!AS10/Datos!BM10),Datos!AS10/Datos!BM10," - ")</f>
        <v xml:space="preserve"> - </v>
      </c>
      <c r="J10" s="1048">
        <f>IF(ISNUMBER(Datos!BY10/Datos!CN10),Datos!BY10/Datos!CN10," - ")</f>
        <v>0</v>
      </c>
      <c r="K10" s="233">
        <f t="shared" ref="K10:K12" si="1">IF(ISNUMBER((E10-F10)/C10),(E10-F10)/C10," - ")</f>
        <v>9.8765432098765427E-2</v>
      </c>
      <c r="L10" s="1028">
        <f>IF(ISNUMBER(NºAsuntos!I10/NºAsuntos!G10),(NºAsuntos!I10/NºAsuntos!G10)*11," - ")</f>
        <v>65.266666666666666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39.106922549691568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81</v>
      </c>
      <c r="D13" s="1052">
        <f>SUBTOTAL(9,D9:D12)</f>
        <v>81</v>
      </c>
      <c r="E13" s="1053">
        <f>SUBTOTAL(9,E9:E12)</f>
        <v>23</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1558</v>
      </c>
      <c r="D16" s="228">
        <f>IF(ISNUMBER(IF(D_I="SI",Datos!I16,Datos!I16+Datos!AC16)),IF(D_I="SI",Datos!I16,Datos!I16+Datos!AC16)," - ")</f>
        <v>1546</v>
      </c>
      <c r="E16" s="229">
        <f>IF(ISNUMBER(IF(D_I="SI",Datos!J16,Datos!J16+Datos!AD16)),IF(D_I="SI",Datos!J16,Datos!J16+Datos!AD16)," - ")</f>
        <v>1543</v>
      </c>
      <c r="F16" s="229">
        <f>IF(ISNUMBER(IF(D_I="SI",Datos!K16,Datos!K16+Datos!AE16)),IF(D_I="SI",Datos!K16,Datos!K16+Datos!AE16)," - ")</f>
        <v>1632</v>
      </c>
      <c r="G16" s="1037" t="str">
        <f>IF(Datos!E16&lt;&gt;"",Datos!E16,Datos!D16)</f>
        <v>04</v>
      </c>
      <c r="H16" s="230">
        <f>IF(ISNUMBER(IF(D_I="SI",Datos!L16,Datos!L16+Datos!AF16)),IF(D_I="SI",Datos!L16,Datos!L16+Datos!AF16)," - ")</f>
        <v>1469</v>
      </c>
      <c r="I16" s="1047" t="str">
        <f>IF(ISNUMBER(Datos!AS16/Datos!BM16),Datos!AS16/Datos!BM16," - ")</f>
        <v xml:space="preserve"> - </v>
      </c>
      <c r="J16" s="1048">
        <f>IF(ISNUMBER(Datos!BY16/Datos!CN16),Datos!BY16/Datos!CN16," - ")</f>
        <v>0</v>
      </c>
      <c r="K16" s="233">
        <f t="shared" si="3"/>
        <v>-5.7124518613607192E-2</v>
      </c>
      <c r="L16" s="1028">
        <f>IF(ISNUMBER(NºAsuntos!I16/NºAsuntos!G16),(NºAsuntos!I16/NºAsuntos!G16)*11," - ")</f>
        <v>9.9013480392156872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166</v>
      </c>
      <c r="D17" s="228">
        <f>IF(ISNUMBER(IF(D_I="SI",Datos!I17,Datos!I17+Datos!AC17)),IF(D_I="SI",Datos!I17,Datos!I17+Datos!AC17)," - ")</f>
        <v>166</v>
      </c>
      <c r="E17" s="229">
        <f>IF(ISNUMBER(IF(D_I="SI",Datos!J17,Datos!J17+Datos!AD17)),IF(D_I="SI",Datos!J17,Datos!J17+Datos!AD17)," - ")</f>
        <v>101</v>
      </c>
      <c r="F17" s="229">
        <f>IF(ISNUMBER(IF(D_I="SI",Datos!K17,Datos!K17+Datos!AE17)),IF(D_I="SI",Datos!K17,Datos!K17+Datos!AE17)," - ")</f>
        <v>129</v>
      </c>
      <c r="G17" s="1037" t="str">
        <f>IF(Datos!E17&lt;&gt;"",Datos!E17,Datos!D17)</f>
        <v>37</v>
      </c>
      <c r="H17" s="230">
        <f>IF(ISNUMBER(IF(D_I="SI",Datos!L17,Datos!L17+Datos!AF17)),IF(D_I="SI",Datos!L17,Datos!L17+Datos!AF17)," - ")</f>
        <v>138</v>
      </c>
      <c r="I17" s="1047" t="str">
        <f>IF(ISNUMBER(Datos!AS17/Datos!BM17),Datos!AS17/Datos!BM17," - ")</f>
        <v xml:space="preserve"> - </v>
      </c>
      <c r="J17" s="1048" t="str">
        <f>IF(ISNUMBER((Datos!BY17+Datos!BZ17)/Datos!CN17),(Datos!BY17+Datos!BZ17)/Datos!CN17," - ")</f>
        <v xml:space="preserve"> - </v>
      </c>
      <c r="K17" s="233">
        <f t="shared" si="3"/>
        <v>-0.16867469879518071</v>
      </c>
      <c r="L17" s="1028">
        <f>IF(ISNUMBER(NºAsuntos!I17/NºAsuntos!G17),(NºAsuntos!I17/NºAsuntos!G17)*11," - ")</f>
        <v>11.767441860465116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1724</v>
      </c>
      <c r="D18" s="1052">
        <f>SUBTOTAL(9,D15:D17)</f>
        <v>1712</v>
      </c>
      <c r="E18" s="1053">
        <f>SUBTOTAL(9,E15:E17)</f>
        <v>1644</v>
      </c>
      <c r="F18" s="1053">
        <f>SUBTOTAL(9,F15:F17)</f>
        <v>1761</v>
      </c>
      <c r="G18" s="1055" t="str">
        <f ca="1">INDIRECT(CONCATENATE("G",ROW()-1))</f>
        <v>37</v>
      </c>
      <c r="H18" s="1056">
        <f ca="1">SUMIF(G$14:G17,G18,H$14:H17)</f>
        <v>138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1805</v>
      </c>
      <c r="D19" s="1074">
        <f>SUBTOTAL(9,D9:D18)</f>
        <v>1793</v>
      </c>
      <c r="E19" s="1075">
        <f>SUBTOTAL(9,E9:E18)</f>
        <v>1667</v>
      </c>
      <c r="F19" s="1075">
        <f>SUBTOTAL(9,F9:F18)</f>
        <v>1776</v>
      </c>
      <c r="G19" s="1076"/>
      <c r="H19" s="1077">
        <f ca="1">SUMIF(B9:B18,"TOTAL",H9:H18)</f>
        <v>138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H7+OkImBqV0kzpku/ptk4234P1YSgj4OEKgwhLv4i874dWlFMngaltcU36naLAkIT/ZSqVqajlJvMrqoB0XaA==" saltValue="c7S1VNbEJ5QmXtltcoZyk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dhY53pZxj21vHdcx2D7yvI9OooPUFm++xcV3DrFngbcd0EiEdDVGb9WKtAg1pT7AxQQZQiYO9kh6EH5Dcf/vg==" saltValue="yhoZZIag4b+N6RZcg4x8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81</v>
      </c>
      <c r="J10" s="184">
        <v>23</v>
      </c>
      <c r="K10" s="184">
        <v>15</v>
      </c>
      <c r="L10" s="184">
        <v>89</v>
      </c>
      <c r="M10" s="184">
        <v>7</v>
      </c>
      <c r="N10" s="184">
        <v>1</v>
      </c>
      <c r="O10" s="184">
        <v>1</v>
      </c>
      <c r="P10" s="184">
        <v>1</v>
      </c>
      <c r="Q10" s="184">
        <v>1</v>
      </c>
      <c r="R10" s="184">
        <v>87</v>
      </c>
      <c r="S10" s="184">
        <v>92</v>
      </c>
      <c r="T10" s="184">
        <v>7</v>
      </c>
      <c r="U10" s="184">
        <v>6</v>
      </c>
      <c r="V10" s="184">
        <v>93</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92</v>
      </c>
      <c r="AZ10" s="129">
        <f t="shared" si="0"/>
        <v>7</v>
      </c>
      <c r="BA10" s="129">
        <f t="shared" si="0"/>
        <v>6</v>
      </c>
      <c r="BB10" s="129">
        <f t="shared" si="0"/>
        <v>93</v>
      </c>
      <c r="BC10" s="125">
        <f t="shared" si="0"/>
        <v>5</v>
      </c>
      <c r="BD10" s="126">
        <f>IF(ISNUMBER(BA10/AZ10),BA10/AZ10," - ")</f>
        <v>0.8571428571428571</v>
      </c>
      <c r="BE10" s="127">
        <f>IF(ISNUMBER(BB10/BA10),BB10/BA10, " - ")</f>
        <v>15.5</v>
      </c>
      <c r="BF10" s="127">
        <f>IF(ISNUMBER(BC10/BA10),BC10/BA10, " - ")</f>
        <v>0.83333333333333337</v>
      </c>
      <c r="BG10" s="199">
        <f>IF(ISNUMBER((AY10+AZ10)/BA10),(AY10+AZ10)/BA10," - ")</f>
        <v>16.5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5189</v>
      </c>
      <c r="J12" s="186">
        <v>1310</v>
      </c>
      <c r="K12" s="186">
        <v>1414</v>
      </c>
      <c r="L12" s="186">
        <v>5085</v>
      </c>
      <c r="M12" s="186">
        <v>275</v>
      </c>
      <c r="N12" s="186">
        <v>801</v>
      </c>
      <c r="O12" s="184">
        <v>476</v>
      </c>
      <c r="P12" s="186">
        <v>361</v>
      </c>
      <c r="Q12" s="186">
        <v>249</v>
      </c>
      <c r="R12" s="186">
        <v>9356</v>
      </c>
      <c r="S12" s="186">
        <v>3986</v>
      </c>
      <c r="T12" s="186">
        <v>1520</v>
      </c>
      <c r="U12" s="186">
        <v>1231</v>
      </c>
      <c r="V12" s="186">
        <v>4275</v>
      </c>
      <c r="W12" s="186">
        <v>256</v>
      </c>
      <c r="X12" s="192">
        <v>671</v>
      </c>
      <c r="Y12" s="194">
        <v>90</v>
      </c>
      <c r="Z12" s="184">
        <v>57</v>
      </c>
      <c r="AA12" s="184">
        <v>45</v>
      </c>
      <c r="AB12" s="184">
        <v>102</v>
      </c>
      <c r="AC12" s="186">
        <v>0</v>
      </c>
      <c r="AD12" s="186">
        <v>0</v>
      </c>
      <c r="AE12" s="186">
        <v>0</v>
      </c>
      <c r="AF12" s="192">
        <v>0</v>
      </c>
      <c r="AG12" s="205">
        <v>46</v>
      </c>
      <c r="AH12" s="186">
        <v>78</v>
      </c>
      <c r="AI12" s="186">
        <v>44</v>
      </c>
      <c r="AJ12" s="206">
        <v>80</v>
      </c>
      <c r="AK12" s="185">
        <v>0</v>
      </c>
      <c r="AL12" s="186">
        <v>0</v>
      </c>
      <c r="AM12" s="186">
        <v>0</v>
      </c>
      <c r="AN12" s="192">
        <v>0</v>
      </c>
      <c r="AO12" s="262">
        <v>5</v>
      </c>
      <c r="AP12" s="158">
        <v>5</v>
      </c>
      <c r="AQ12" s="158">
        <v>5</v>
      </c>
      <c r="AR12" s="157">
        <v>5</v>
      </c>
      <c r="AS12" s="343" t="s">
        <v>807</v>
      </c>
      <c r="AT12" s="206"/>
      <c r="AU12" s="205"/>
      <c r="AV12" s="206"/>
      <c r="AW12" s="205"/>
      <c r="AX12" s="206"/>
      <c r="AY12" s="126">
        <f t="shared" si="1"/>
        <v>4032</v>
      </c>
      <c r="AZ12" s="127">
        <f t="shared" si="1"/>
        <v>1598</v>
      </c>
      <c r="BA12" s="127">
        <f t="shared" si="1"/>
        <v>1275</v>
      </c>
      <c r="BB12" s="127">
        <f t="shared" si="1"/>
        <v>4355</v>
      </c>
      <c r="BC12" s="125">
        <f>IF(ISNUMBER(X12),X12," - ")</f>
        <v>671</v>
      </c>
      <c r="BD12" s="126">
        <f t="shared" si="2"/>
        <v>0.7978723404255319</v>
      </c>
      <c r="BE12" s="127">
        <f t="shared" si="3"/>
        <v>3.4156862745098038</v>
      </c>
      <c r="BF12" s="127">
        <f t="shared" si="4"/>
        <v>0.52627450980392154</v>
      </c>
      <c r="BG12" s="199">
        <f t="shared" si="5"/>
        <v>4.4156862745098042</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5270</v>
      </c>
      <c r="J13" s="187">
        <f t="shared" si="6"/>
        <v>1333</v>
      </c>
      <c r="K13" s="187">
        <f t="shared" si="6"/>
        <v>1429</v>
      </c>
      <c r="L13" s="187">
        <f t="shared" si="6"/>
        <v>5174</v>
      </c>
      <c r="M13" s="187">
        <f t="shared" si="6"/>
        <v>282</v>
      </c>
      <c r="N13" s="187">
        <f t="shared" si="6"/>
        <v>802</v>
      </c>
      <c r="O13" s="187">
        <f t="shared" si="6"/>
        <v>477</v>
      </c>
      <c r="P13" s="187">
        <f t="shared" si="6"/>
        <v>362</v>
      </c>
      <c r="Q13" s="187">
        <f t="shared" si="6"/>
        <v>250</v>
      </c>
      <c r="R13" s="187">
        <f t="shared" si="6"/>
        <v>9443</v>
      </c>
      <c r="S13" s="187">
        <f t="shared" si="6"/>
        <v>4078</v>
      </c>
      <c r="T13" s="187">
        <f t="shared" si="6"/>
        <v>1527</v>
      </c>
      <c r="U13" s="187">
        <f t="shared" si="6"/>
        <v>1237</v>
      </c>
      <c r="V13" s="187">
        <f t="shared" si="6"/>
        <v>4368</v>
      </c>
      <c r="W13" s="187">
        <f t="shared" si="6"/>
        <v>261</v>
      </c>
      <c r="X13" s="187">
        <f t="shared" si="6"/>
        <v>671</v>
      </c>
      <c r="Y13" s="187">
        <f t="shared" si="6"/>
        <v>90</v>
      </c>
      <c r="Z13" s="187">
        <f t="shared" si="6"/>
        <v>57</v>
      </c>
      <c r="AA13" s="187">
        <f t="shared" si="6"/>
        <v>45</v>
      </c>
      <c r="AB13" s="187">
        <f t="shared" si="6"/>
        <v>102</v>
      </c>
      <c r="AC13" s="187">
        <f t="shared" si="6"/>
        <v>0</v>
      </c>
      <c r="AD13" s="187">
        <f t="shared" si="6"/>
        <v>0</v>
      </c>
      <c r="AE13" s="187">
        <f t="shared" si="6"/>
        <v>0</v>
      </c>
      <c r="AF13" s="187">
        <f>SUBTOTAL(9,AF9:AF12)</f>
        <v>0</v>
      </c>
      <c r="AG13" s="187">
        <f t="shared" ref="AG13:AT13" si="7">SUBTOTAL(9,AG8:AG12)</f>
        <v>46</v>
      </c>
      <c r="AH13" s="187">
        <f t="shared" si="7"/>
        <v>78</v>
      </c>
      <c r="AI13" s="187">
        <f t="shared" si="7"/>
        <v>44</v>
      </c>
      <c r="AJ13" s="187">
        <f t="shared" si="7"/>
        <v>80</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4124</v>
      </c>
      <c r="AZ13" s="187">
        <f>SUBTOTAL(9,AZ8:AZ12)</f>
        <v>1605</v>
      </c>
      <c r="BA13" s="187">
        <f>SUBTOTAL(9,BA8:BA12)</f>
        <v>1281</v>
      </c>
      <c r="BB13" s="187">
        <f>SUBTOTAL(9,BB8:BB12)</f>
        <v>4448</v>
      </c>
      <c r="BC13" s="187">
        <f>SUBTOTAL(9,BC8:BC12)</f>
        <v>676</v>
      </c>
      <c r="BD13" s="208">
        <f>IF(ISNUMBER(BA13/AZ13),BA13/AZ13," - ")</f>
        <v>0.79813084112149535</v>
      </c>
      <c r="BE13" s="209">
        <f>IF(ISNUMBER(BB13/BA13),BB13/BA13, " - ")</f>
        <v>3.4722872755659639</v>
      </c>
      <c r="BF13" s="209">
        <f>IF(ISNUMBER(BC13/BA13),BC13/BA13, " - ")</f>
        <v>0.52771272443403594</v>
      </c>
      <c r="BG13" s="210">
        <f>IF(ISNUMBER((AY13+AZ13)/BA13),(AY13+AZ13)/BA13," - ")</f>
        <v>4.4722872755659644</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1546</v>
      </c>
      <c r="J16" s="186">
        <v>1543</v>
      </c>
      <c r="K16" s="186">
        <v>1632</v>
      </c>
      <c r="L16" s="186">
        <v>1469</v>
      </c>
      <c r="M16" s="186">
        <v>141</v>
      </c>
      <c r="N16" s="186">
        <v>1101</v>
      </c>
      <c r="O16" s="184">
        <v>0</v>
      </c>
      <c r="P16" s="186">
        <v>44</v>
      </c>
      <c r="Q16" s="186">
        <v>12</v>
      </c>
      <c r="R16" s="186">
        <v>221</v>
      </c>
      <c r="S16" s="186">
        <v>1561</v>
      </c>
      <c r="T16" s="186">
        <v>1345</v>
      </c>
      <c r="U16" s="186">
        <v>1507</v>
      </c>
      <c r="V16" s="186">
        <v>1416</v>
      </c>
      <c r="W16" s="186">
        <v>196</v>
      </c>
      <c r="X16" s="192">
        <v>997</v>
      </c>
      <c r="Y16" s="205">
        <v>0</v>
      </c>
      <c r="Z16" s="186">
        <v>0</v>
      </c>
      <c r="AA16" s="186">
        <v>0</v>
      </c>
      <c r="AB16" s="186">
        <v>0</v>
      </c>
      <c r="AC16" s="186">
        <v>2</v>
      </c>
      <c r="AD16" s="186">
        <v>0</v>
      </c>
      <c r="AE16" s="186">
        <v>1</v>
      </c>
      <c r="AF16" s="192">
        <v>1</v>
      </c>
      <c r="AG16" s="205">
        <v>0</v>
      </c>
      <c r="AH16" s="186">
        <v>0</v>
      </c>
      <c r="AI16" s="186">
        <v>0</v>
      </c>
      <c r="AJ16" s="206">
        <v>0</v>
      </c>
      <c r="AK16" s="185">
        <v>0</v>
      </c>
      <c r="AL16" s="186">
        <v>8</v>
      </c>
      <c r="AM16" s="186">
        <v>8</v>
      </c>
      <c r="AN16" s="192">
        <v>0</v>
      </c>
      <c r="AO16" s="262">
        <v>5</v>
      </c>
      <c r="AP16" s="158">
        <v>5</v>
      </c>
      <c r="AQ16" s="158">
        <v>5</v>
      </c>
      <c r="AR16" s="158">
        <v>5</v>
      </c>
      <c r="AS16" s="343" t="s">
        <v>491</v>
      </c>
      <c r="AT16" s="206"/>
      <c r="AU16" s="205"/>
      <c r="AV16" s="206"/>
      <c r="AW16" s="205"/>
      <c r="AX16" s="206"/>
      <c r="AY16" s="126">
        <f t="shared" si="9"/>
        <v>1561</v>
      </c>
      <c r="AZ16" s="127">
        <f t="shared" si="9"/>
        <v>1345</v>
      </c>
      <c r="BA16" s="127">
        <f t="shared" si="9"/>
        <v>1507</v>
      </c>
      <c r="BB16" s="127">
        <f t="shared" si="9"/>
        <v>1416</v>
      </c>
      <c r="BC16" s="125">
        <f>IF(ISNUMBER(W16),W16," - ")</f>
        <v>196</v>
      </c>
      <c r="BD16" s="126">
        <f t="shared" ref="BD16" si="11">IF(ISNUMBER(BA16/AZ16),BA16/AZ16," - ")</f>
        <v>1.1204460966542751</v>
      </c>
      <c r="BE16" s="127">
        <f t="shared" ref="BE16" si="12">IF(ISNUMBER(BB16/BA16),BB16/BA16, " - ")</f>
        <v>0.93961512939615133</v>
      </c>
      <c r="BF16" s="127">
        <f t="shared" ref="BF16" si="13">IF(ISNUMBER(BC16/BA16),BC16/BA16, " - ")</f>
        <v>0.1300597213005972</v>
      </c>
      <c r="BG16" s="199">
        <f t="shared" si="10"/>
        <v>1.9283344392833444</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166</v>
      </c>
      <c r="J17" s="186">
        <v>101</v>
      </c>
      <c r="K17" s="186">
        <v>129</v>
      </c>
      <c r="L17" s="186">
        <v>138</v>
      </c>
      <c r="M17" s="186">
        <v>2</v>
      </c>
      <c r="N17" s="186">
        <v>93</v>
      </c>
      <c r="O17" s="186">
        <v>0</v>
      </c>
      <c r="P17" s="186">
        <v>0</v>
      </c>
      <c r="Q17" s="186">
        <v>0</v>
      </c>
      <c r="R17" s="186">
        <v>8</v>
      </c>
      <c r="S17" s="186">
        <v>134</v>
      </c>
      <c r="T17" s="186">
        <v>96</v>
      </c>
      <c r="U17" s="186">
        <v>68</v>
      </c>
      <c r="V17" s="186">
        <v>162</v>
      </c>
      <c r="W17" s="186">
        <v>6</v>
      </c>
      <c r="X17" s="192">
        <v>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134</v>
      </c>
      <c r="AZ17" s="129">
        <f t="shared" si="14"/>
        <v>96</v>
      </c>
      <c r="BA17" s="129">
        <f t="shared" si="14"/>
        <v>68</v>
      </c>
      <c r="BB17" s="129">
        <f t="shared" si="14"/>
        <v>162</v>
      </c>
      <c r="BC17" s="125">
        <f>IF(ISNUMBER(W17),W17," - ")</f>
        <v>6</v>
      </c>
      <c r="BD17" s="126">
        <f>IF(ISNUMBER(BA17/AZ17),BA17/AZ17," - ")</f>
        <v>0.70833333333333337</v>
      </c>
      <c r="BE17" s="127">
        <f>IF(ISNUMBER(BB17/BA17),BB17/BA17, " - ")</f>
        <v>2.3823529411764706</v>
      </c>
      <c r="BF17" s="127">
        <f>IF(ISNUMBER(BC17/BA17),BC17/BA17, " - ")</f>
        <v>8.8235294117647065E-2</v>
      </c>
      <c r="BG17" s="199">
        <f>IF(ISNUMBER((AY17+AZ17)/BA17),(AY17+AZ17)/BA17," - ")</f>
        <v>3.3823529411764706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1712</v>
      </c>
      <c r="J18" s="187">
        <f t="shared" si="15"/>
        <v>1644</v>
      </c>
      <c r="K18" s="187">
        <f t="shared" si="15"/>
        <v>1761</v>
      </c>
      <c r="L18" s="187">
        <f t="shared" si="15"/>
        <v>1607</v>
      </c>
      <c r="M18" s="187">
        <f t="shared" si="15"/>
        <v>143</v>
      </c>
      <c r="N18" s="187">
        <f t="shared" si="15"/>
        <v>1194</v>
      </c>
      <c r="O18" s="187">
        <f t="shared" si="15"/>
        <v>0</v>
      </c>
      <c r="P18" s="187">
        <f t="shared" si="15"/>
        <v>44</v>
      </c>
      <c r="Q18" s="187">
        <f t="shared" si="15"/>
        <v>12</v>
      </c>
      <c r="R18" s="187">
        <f t="shared" si="15"/>
        <v>229</v>
      </c>
      <c r="S18" s="187">
        <f t="shared" si="15"/>
        <v>1695</v>
      </c>
      <c r="T18" s="187">
        <f t="shared" si="15"/>
        <v>1441</v>
      </c>
      <c r="U18" s="187">
        <f t="shared" si="15"/>
        <v>1575</v>
      </c>
      <c r="V18" s="187">
        <f t="shared" si="15"/>
        <v>1578</v>
      </c>
      <c r="W18" s="187">
        <f t="shared" si="15"/>
        <v>202</v>
      </c>
      <c r="X18" s="187">
        <f t="shared" si="15"/>
        <v>1024</v>
      </c>
      <c r="Y18" s="187">
        <f t="shared" si="15"/>
        <v>0</v>
      </c>
      <c r="Z18" s="187">
        <f t="shared" si="15"/>
        <v>0</v>
      </c>
      <c r="AA18" s="187">
        <f t="shared" si="15"/>
        <v>0</v>
      </c>
      <c r="AB18" s="187">
        <f t="shared" si="15"/>
        <v>0</v>
      </c>
      <c r="AC18" s="187">
        <f t="shared" si="15"/>
        <v>2</v>
      </c>
      <c r="AD18" s="187">
        <f t="shared" si="15"/>
        <v>0</v>
      </c>
      <c r="AE18" s="187">
        <f t="shared" si="15"/>
        <v>1</v>
      </c>
      <c r="AF18" s="187">
        <f t="shared" si="15"/>
        <v>1</v>
      </c>
      <c r="AG18" s="187">
        <f t="shared" si="15"/>
        <v>0</v>
      </c>
      <c r="AH18" s="187">
        <f t="shared" si="15"/>
        <v>0</v>
      </c>
      <c r="AI18" s="187">
        <f t="shared" si="15"/>
        <v>0</v>
      </c>
      <c r="AJ18" s="187">
        <f t="shared" si="15"/>
        <v>0</v>
      </c>
      <c r="AK18" s="187">
        <f t="shared" si="15"/>
        <v>0</v>
      </c>
      <c r="AL18" s="187">
        <f t="shared" si="15"/>
        <v>8</v>
      </c>
      <c r="AM18" s="187">
        <f t="shared" si="15"/>
        <v>8</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1695</v>
      </c>
      <c r="AZ18" s="187">
        <f>SUBTOTAL(9,AZ14:AZ17)</f>
        <v>1441</v>
      </c>
      <c r="BA18" s="187">
        <f>SUBTOTAL(9,BA14:BA17)</f>
        <v>1575</v>
      </c>
      <c r="BB18" s="187">
        <f>SUBTOTAL(9,BB14:BB17)</f>
        <v>1578</v>
      </c>
      <c r="BC18" s="187">
        <f>SUBTOTAL(9,BC14:BC17)</f>
        <v>202</v>
      </c>
      <c r="BD18" s="208">
        <f>IF(ISNUMBER(BA18/AZ18),BA18/AZ18," - ")</f>
        <v>1.0929909784871616</v>
      </c>
      <c r="BE18" s="209">
        <f>IF(ISNUMBER(BB18/BA18),BB18/BA18, " - ")</f>
        <v>1.0019047619047619</v>
      </c>
      <c r="BF18" s="209">
        <f>IF(ISNUMBER(BC18/BA18),BC18/BA18, " - ")</f>
        <v>0.12825396825396826</v>
      </c>
      <c r="BG18" s="210">
        <f>IF(ISNUMBER((AY18+AZ18)/BA18),(AY18+AZ18)/BA18," - ")</f>
        <v>1.9911111111111111</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6982</v>
      </c>
      <c r="J19" s="134">
        <f t="shared" si="18"/>
        <v>2977</v>
      </c>
      <c r="K19" s="134">
        <f t="shared" si="18"/>
        <v>3190</v>
      </c>
      <c r="L19" s="134">
        <f t="shared" si="18"/>
        <v>6781</v>
      </c>
      <c r="M19" s="134">
        <f t="shared" si="18"/>
        <v>425</v>
      </c>
      <c r="N19" s="134">
        <f t="shared" si="18"/>
        <v>1996</v>
      </c>
      <c r="O19" s="134">
        <f t="shared" si="18"/>
        <v>477</v>
      </c>
      <c r="P19" s="134">
        <f t="shared" si="18"/>
        <v>406</v>
      </c>
      <c r="Q19" s="134">
        <f t="shared" si="18"/>
        <v>262</v>
      </c>
      <c r="R19" s="134">
        <f t="shared" si="18"/>
        <v>9672</v>
      </c>
      <c r="S19" s="134">
        <f t="shared" si="18"/>
        <v>5773</v>
      </c>
      <c r="T19" s="134">
        <f t="shared" si="18"/>
        <v>2968</v>
      </c>
      <c r="U19" s="134">
        <f t="shared" si="18"/>
        <v>2812</v>
      </c>
      <c r="V19" s="134">
        <f t="shared" si="18"/>
        <v>5946</v>
      </c>
      <c r="W19" s="134">
        <f t="shared" si="18"/>
        <v>463</v>
      </c>
      <c r="X19" s="134">
        <f t="shared" si="18"/>
        <v>1695</v>
      </c>
      <c r="Y19" s="134">
        <f t="shared" si="18"/>
        <v>90</v>
      </c>
      <c r="Z19" s="134">
        <f t="shared" si="18"/>
        <v>57</v>
      </c>
      <c r="AA19" s="134">
        <f t="shared" si="18"/>
        <v>45</v>
      </c>
      <c r="AB19" s="134">
        <f t="shared" si="18"/>
        <v>102</v>
      </c>
      <c r="AC19" s="134">
        <f t="shared" si="18"/>
        <v>2</v>
      </c>
      <c r="AD19" s="134">
        <f t="shared" si="18"/>
        <v>0</v>
      </c>
      <c r="AE19" s="134">
        <f t="shared" si="18"/>
        <v>1</v>
      </c>
      <c r="AF19" s="134">
        <f t="shared" si="18"/>
        <v>1</v>
      </c>
      <c r="AG19" s="134">
        <f t="shared" si="18"/>
        <v>46</v>
      </c>
      <c r="AH19" s="134">
        <f t="shared" si="18"/>
        <v>78</v>
      </c>
      <c r="AI19" s="134">
        <f t="shared" si="18"/>
        <v>44</v>
      </c>
      <c r="AJ19" s="134">
        <f t="shared" si="18"/>
        <v>80</v>
      </c>
      <c r="AK19" s="134">
        <f t="shared" si="18"/>
        <v>0</v>
      </c>
      <c r="AL19" s="134">
        <f t="shared" si="18"/>
        <v>8</v>
      </c>
      <c r="AM19" s="134">
        <f t="shared" si="18"/>
        <v>8</v>
      </c>
      <c r="AN19" s="213">
        <f t="shared" si="18"/>
        <v>0</v>
      </c>
      <c r="AO19" s="214">
        <v>6</v>
      </c>
      <c r="AP19" s="214">
        <v>5</v>
      </c>
      <c r="AQ19" s="214">
        <v>5</v>
      </c>
      <c r="AR19" s="214">
        <v>5</v>
      </c>
      <c r="AS19" s="156">
        <f t="shared" si="18"/>
        <v>0</v>
      </c>
      <c r="AT19" s="156">
        <f t="shared" si="18"/>
        <v>0</v>
      </c>
      <c r="AU19" s="214"/>
      <c r="AV19" s="215"/>
      <c r="AW19" s="214"/>
      <c r="AX19" s="215"/>
      <c r="AY19" s="133">
        <f>SUBTOTAL(9,AY9:AY18)</f>
        <v>5819</v>
      </c>
      <c r="AZ19" s="134">
        <f>SUBTOTAL(9,AZ9:AZ18)</f>
        <v>3046</v>
      </c>
      <c r="BA19" s="134">
        <f>SUBTOTAL(9,BA9:BA18)</f>
        <v>2856</v>
      </c>
      <c r="BB19" s="134">
        <f>SUBTOTAL(9,BB9:BB18)</f>
        <v>6026</v>
      </c>
      <c r="BC19" s="135">
        <f>SUBTOTAL(9,BC9:BC18)</f>
        <v>878</v>
      </c>
      <c r="BD19" s="216">
        <f>IF(ISNUMBER(BA19/AZ19),BA19/AZ19," - ")</f>
        <v>0.9376231122783979</v>
      </c>
      <c r="BE19" s="213">
        <f>IF(ISNUMBER(BB19/BA19),BB19/BA19, " - ")</f>
        <v>2.1099439775910365</v>
      </c>
      <c r="BF19" s="213">
        <f>IF(ISNUMBER(BC19/BA19),BC19/BA19, " - ")</f>
        <v>0.30742296918767509</v>
      </c>
      <c r="BG19" s="135">
        <f>IF(ISNUMBER((AY19+AZ19)/BA19),(AY19+AZ19)/BA19," - ")</f>
        <v>3.1039915966386555</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JoRHfn7sMEjWbnmJo87s3It6Vc1D3ZXl4Db7UBKL6onkB9Xd7iZcuFjBeBXCxd481Kyzcit2OIlpG3SWq+PIg==" saltValue="hhE73Cv/RYg4QgiMRkUr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1X/i4sQ64jZlZg2VswU8EhWeBqAzYpH4TfBfKU31/n7GT3aiVTTdxBH29XjCGzvd0FraBSQpKrZzW82BAfUdg==" saltValue="F22/HytshNK4g1UBSbD2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IGUALADA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81</v>
      </c>
      <c r="G10" s="336">
        <f>IF(ISNUMBER(Datos!I10),Datos!I10," - ")</f>
        <v>81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1</v>
      </c>
      <c r="AD10" s="337"/>
      <c r="AE10" s="487"/>
      <c r="AF10" s="335">
        <f>IF(ISNUMBER(Datos!L10),Datos!L10,"-")</f>
        <v>89</v>
      </c>
      <c r="AG10" s="337"/>
      <c r="AH10" s="337"/>
      <c r="AI10" s="337"/>
      <c r="AJ10" s="337"/>
      <c r="AK10" s="337"/>
      <c r="AL10" s="482"/>
      <c r="AM10" s="338">
        <f>IF(ISNUMBER(Datos!R10),Datos!R10," - ")</f>
        <v>87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1</v>
      </c>
      <c r="BE10" s="232" t="str">
        <f>IF(ISNUMBER(Datos!BW10),Datos!BW10," - ")</f>
        <v xml:space="preserve"> - </v>
      </c>
      <c r="BF10" s="231" t="str">
        <f>IF(ISNUMBER(Datos!BX10),Datos!BX10," - ")</f>
        <v xml:space="preserve"> - </v>
      </c>
      <c r="BG10" s="246">
        <f>IF(ISNUMBER(Datos!K10/Datos!J10),Datos!K10/Datos!J10," - ")</f>
        <v>0.65217391304347827</v>
      </c>
      <c r="BH10" s="263">
        <f>IF(ISNUMBER(((Datos!L10/Datos!K10)*11)/factor_trimestre),((Datos!L10/Datos!K10)*11)/factor_trimestre," - ")</f>
        <v>17.8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57</v>
      </c>
      <c r="O12" s="337"/>
      <c r="P12" s="337"/>
      <c r="Q12" s="229">
        <f>IF(ISNUMBER(Datos!P12),Datos!P12,0)</f>
        <v>361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102</v>
      </c>
      <c r="AI12" s="337" t="str">
        <f>IF(ISNUMBER(Datos!CD12),Datos!CD12,"-")</f>
        <v>-</v>
      </c>
      <c r="AJ12" s="337" t="str">
        <f>IF(ISNUMBER(Datos!EN12),Datos!EN12," - ")</f>
        <v xml:space="preserve"> - </v>
      </c>
      <c r="AK12" s="337"/>
      <c r="AL12" s="482"/>
      <c r="AM12" s="338">
        <f>IF(ISNUMBER(Datos!R12),Datos!R12," - ")</f>
        <v>9356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275</v>
      </c>
      <c r="BD12" s="232">
        <f>IF(ISNUMBER(Datos!N12),Datos!N12," - ")</f>
        <v>801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1.0673006583760059</v>
      </c>
      <c r="BH12" s="263">
        <f>IF(ISNUMBER(((IF(J_V="SI",Datos!L12/Datos!K12,(Datos!L12+Datos!AB12)/(Datos!K12+Datos!AA12)))*11)/factor_trimestre),((IF(J_V="SI",Datos!L12/Datos!K12,(Datos!L12+Datos!AB12)/(Datos!K12+Datos!AA12)))*11)/factor_trimestre," - ")</f>
        <v>10.665524331734064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1.2115967113803548E-2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81</v>
      </c>
      <c r="G13" s="901">
        <f t="shared" si="0"/>
        <v>81</v>
      </c>
      <c r="H13" s="902">
        <f t="shared" si="0"/>
        <v>0</v>
      </c>
      <c r="I13" s="901">
        <f t="shared" si="0"/>
        <v>0</v>
      </c>
      <c r="J13" s="870">
        <f t="shared" si="0"/>
        <v>0</v>
      </c>
      <c r="K13" s="870">
        <f t="shared" si="0"/>
        <v>0</v>
      </c>
      <c r="L13" s="902">
        <f t="shared" si="0"/>
        <v>0</v>
      </c>
      <c r="M13" s="902">
        <f t="shared" si="0"/>
        <v>0</v>
      </c>
      <c r="N13" s="902">
        <f t="shared" si="0"/>
        <v>57</v>
      </c>
      <c r="O13" s="903">
        <f t="shared" si="0"/>
        <v>0</v>
      </c>
      <c r="P13" s="903">
        <f t="shared" si="0"/>
        <v>0</v>
      </c>
      <c r="Q13" s="902">
        <f t="shared" si="0"/>
        <v>362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250</v>
      </c>
      <c r="AD13" s="902">
        <f t="shared" si="1"/>
        <v>0</v>
      </c>
      <c r="AE13" s="902">
        <f t="shared" si="1"/>
        <v>0</v>
      </c>
      <c r="AF13" s="902">
        <f t="shared" si="1"/>
        <v>89</v>
      </c>
      <c r="AG13" s="902">
        <f t="shared" si="1"/>
        <v>0</v>
      </c>
      <c r="AH13" s="902">
        <f t="shared" si="1"/>
        <v>102</v>
      </c>
      <c r="AI13" s="902">
        <f t="shared" si="1"/>
        <v>0</v>
      </c>
      <c r="AJ13" s="902">
        <f t="shared" si="1"/>
        <v>0</v>
      </c>
      <c r="AK13" s="902">
        <f t="shared" si="1"/>
        <v>0</v>
      </c>
      <c r="AL13" s="902">
        <f t="shared" si="1"/>
        <v>0</v>
      </c>
      <c r="AM13" s="902">
        <f t="shared" si="1"/>
        <v>9443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282</v>
      </c>
      <c r="BD13" s="902">
        <f t="shared" si="1"/>
        <v>802</v>
      </c>
      <c r="BE13" s="902">
        <f t="shared" si="1"/>
        <v>0</v>
      </c>
      <c r="BF13" s="902">
        <f t="shared" si="1"/>
        <v>0</v>
      </c>
      <c r="BG13" s="902">
        <f>IF(ISNUMBER(Datos!K13/Datos!J13),Datos!K13/Datos!J13," - ")</f>
        <v>1.0720180045011254</v>
      </c>
      <c r="BH13" s="906">
        <f>IF(ISNUMBER(((Datos!L13/Datos!K13)*11)/factor_trimestre),((Datos!L13/Datos!K13)*11)/factor_trimestre," - ")</f>
        <v>10.862141357592721</v>
      </c>
      <c r="BI13" s="902">
        <f>IF(ISNUMBER('Resol  Asuntos'!D13/NºAsuntos!G13),'Resol  Asuntos'!D13/NºAsuntos!G13," - ")</f>
        <v>0.19131614654002713</v>
      </c>
      <c r="BJ13" s="902" t="str">
        <f>IF(ISNUMBER(Datos!CI13/Datos!CJ13),Datos!CI13/Datos!CJ13," - ")</f>
        <v xml:space="preserve"> - </v>
      </c>
      <c r="BK13" s="902">
        <f>SUBTOTAL(9,BK8:BK12)</f>
        <v>0</v>
      </c>
      <c r="BL13" s="902">
        <f>IF(ISNUMBER((I13-AB13+L13)/(F13)),(I13-AB13+L13)/(F13)," - ")</f>
        <v>-0.18518518518518517</v>
      </c>
      <c r="BM13" s="907">
        <f>SUBTOTAL(9,BM9:BM12)</f>
        <v>1.2115967113803548E-2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1558</v>
      </c>
      <c r="G16" s="601">
        <f>IF(ISNUMBER(IF(D_I="SI",Datos!I16,Datos!I16+Datos!AC16)),IF(D_I="SI",Datos!I16,Datos!I16+Datos!AC16)," - ")</f>
        <v>1546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1632</v>
      </c>
      <c r="AC16" s="229">
        <f>IF(ISNUMBER(Datos!Q16),Datos!Q16," - ")</f>
        <v>12</v>
      </c>
      <c r="AD16" s="337"/>
      <c r="AE16" s="487"/>
      <c r="AF16" s="599">
        <f>IF(ISNUMBER(IF(D_I="SI",Datos!L16,Datos!L16+Datos!AF16)),IF(D_I="SI",Datos!L16,Datos!L16+Datos!AF16)," - ")</f>
        <v>1469</v>
      </c>
      <c r="AG16" s="337"/>
      <c r="AH16" s="337"/>
      <c r="AI16" s="337"/>
      <c r="AJ16" s="337"/>
      <c r="AK16" s="337"/>
      <c r="AL16" s="482"/>
      <c r="AM16" s="338">
        <f>IF(ISNUMBER(Datos!R16),Datos!R16," - ")</f>
        <v>221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141</v>
      </c>
      <c r="BD16" s="232">
        <f>IF(ISNUMBER(Datos!N16),Datos!N16," - ")</f>
        <v>1101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1.0576798444588464</v>
      </c>
      <c r="BH16" s="263">
        <f>IF(ISNUMBER(((IF(D_I="SI",Datos!L16/Datos!K16,(Datos!L16+Datos!AF16)/(Datos!K16+Datos!AE16)))*11)/factor_trimestre),((IF(D_I="SI",Datos!L16/Datos!K16,(Datos!L16+Datos!AF16)/(Datos!K16+Datos!AE16)))*11)/factor_trimestre," - ")</f>
        <v>2.7003676470588238</v>
      </c>
      <c r="BI16" s="246">
        <f>IF(ISNUMBER('Resol  Asuntos'!D16/NºAsuntos!G16),'Resol  Asuntos'!D16/NºAsuntos!G16," - ")</f>
        <v>8.639705882352941E-2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129</v>
      </c>
      <c r="AC17" s="229">
        <f>IF(ISNUMBER(Datos!Q17),Datos!Q17," - ")</f>
        <v>0</v>
      </c>
      <c r="AD17" s="337"/>
      <c r="AE17" s="487"/>
      <c r="AF17" s="335">
        <f>IF(ISNUMBER(Datos!L17),Datos!L17,"-")</f>
        <v>138</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93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1.2772277227722773</v>
      </c>
      <c r="BH17" s="263">
        <f>IF(ISNUMBER(((IF(D_I="SI",Datos!L17/Datos!K17,(Datos!L17+Datos!AF17)/(Datos!K17+Datos!AE17)))*11)/factor_trimestre),((IF(D_I="SI",Datos!L17/Datos!K17,(Datos!L17+Datos!AF17)/(Datos!K17+Datos!AE17)))*11)/factor_trimestre," - ")</f>
        <v>3.2093023255813953</v>
      </c>
      <c r="BI17" s="246">
        <f>IF(ISNUMBER('Resol  Asuntos'!D17/NºAsuntos!G17),'Resol  Asuntos'!D17/NºAsuntos!G17," - ")</f>
        <v>1.5503875968992248E-2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1558</v>
      </c>
      <c r="G18" s="901">
        <f>SUBTOTAL(9,G15:G17)</f>
        <v>1712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1761</v>
      </c>
      <c r="AC18" s="902">
        <f t="shared" si="4"/>
        <v>12</v>
      </c>
      <c r="AD18" s="902">
        <f t="shared" si="4"/>
        <v>0</v>
      </c>
      <c r="AE18" s="902">
        <f t="shared" si="4"/>
        <v>0</v>
      </c>
      <c r="AF18" s="902">
        <f t="shared" si="4"/>
        <v>1607</v>
      </c>
      <c r="AG18" s="902">
        <f t="shared" si="4"/>
        <v>0</v>
      </c>
      <c r="AH18" s="902">
        <f t="shared" si="4"/>
        <v>0</v>
      </c>
      <c r="AI18" s="902">
        <f t="shared" si="4"/>
        <v>0</v>
      </c>
      <c r="AJ18" s="902">
        <f t="shared" si="4"/>
        <v>0</v>
      </c>
      <c r="AK18" s="902">
        <f t="shared" si="4"/>
        <v>0</v>
      </c>
      <c r="AL18" s="902">
        <f t="shared" si="4"/>
        <v>0</v>
      </c>
      <c r="AM18" s="902">
        <f t="shared" si="4"/>
        <v>229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143</v>
      </c>
      <c r="BD18" s="902">
        <f t="shared" si="4"/>
        <v>1194</v>
      </c>
      <c r="BE18" s="902">
        <f t="shared" si="4"/>
        <v>0</v>
      </c>
      <c r="BF18" s="902">
        <f t="shared" si="4"/>
        <v>0</v>
      </c>
      <c r="BG18" s="902">
        <f>IF(ISNUMBER(Datos!K18/Datos!J18),Datos!K18/Datos!J18," - ")</f>
        <v>1.0711678832116789</v>
      </c>
      <c r="BH18" s="906">
        <f>IF(ISNUMBER(((Datos!L18/Datos!K18)*11)/factor_trimestre),((Datos!L18/Datos!K18)*11)/factor_trimestre," - ")</f>
        <v>2.7376490630323684</v>
      </c>
      <c r="BI18" s="902">
        <f>SUBTOTAL(9,BI15:BI17)</f>
        <v>0.10190093479252166</v>
      </c>
      <c r="BJ18" s="902">
        <f>SUBTOTAL(9,BJ15:BJ17)</f>
        <v>0</v>
      </c>
      <c r="BK18" s="902">
        <f>SUBTOTAL(9,BK15:BK17)</f>
        <v>0</v>
      </c>
      <c r="BL18" s="902">
        <f>IF(ISNUMBER((I18-AB18+L18)/(F18)),(I18-AB18+L18)/(F18)," - ")</f>
        <v>-1.1302952503209243</v>
      </c>
      <c r="BM18" s="908">
        <f>IF(ISNUMBER((Datos!P18-Datos!Q18)/(Datos!R18-Datos!P18+Datos!Q18)),(Datos!P18-Datos!Q18)/(Datos!R18-Datos!P18+Datos!Q18)," - ")</f>
        <v>0.16243654822335024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1639</v>
      </c>
      <c r="G19" s="823">
        <f t="shared" si="6"/>
        <v>1793</v>
      </c>
      <c r="H19" s="825">
        <f t="shared" si="6"/>
        <v>0</v>
      </c>
      <c r="I19" s="823">
        <f t="shared" si="6"/>
        <v>0</v>
      </c>
      <c r="J19" s="825">
        <f t="shared" si="6"/>
        <v>0</v>
      </c>
      <c r="K19" s="825">
        <f t="shared" si="6"/>
        <v>0</v>
      </c>
      <c r="L19" s="884">
        <f t="shared" si="6"/>
        <v>0</v>
      </c>
      <c r="M19" s="884">
        <f t="shared" si="6"/>
        <v>0</v>
      </c>
      <c r="N19" s="884">
        <f t="shared" si="6"/>
        <v>57</v>
      </c>
      <c r="O19" s="884">
        <f t="shared" si="6"/>
        <v>0</v>
      </c>
      <c r="P19" s="884">
        <f t="shared" si="6"/>
        <v>0</v>
      </c>
      <c r="Q19" s="825">
        <f t="shared" si="6"/>
        <v>406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1776</v>
      </c>
      <c r="AC19" s="824">
        <f t="shared" si="7"/>
        <v>262</v>
      </c>
      <c r="AD19" s="824">
        <f t="shared" si="7"/>
        <v>0</v>
      </c>
      <c r="AE19" s="824">
        <f t="shared" si="7"/>
        <v>0</v>
      </c>
      <c r="AF19" s="831">
        <f t="shared" si="7"/>
        <v>1696</v>
      </c>
      <c r="AG19" s="831">
        <f t="shared" si="7"/>
        <v>0</v>
      </c>
      <c r="AH19" s="831">
        <f t="shared" si="7"/>
        <v>102</v>
      </c>
      <c r="AI19" s="831">
        <f t="shared" si="7"/>
        <v>0</v>
      </c>
      <c r="AJ19" s="824">
        <f t="shared" si="7"/>
        <v>0</v>
      </c>
      <c r="AK19" s="831">
        <f t="shared" si="7"/>
        <v>0</v>
      </c>
      <c r="AL19" s="831">
        <f t="shared" si="7"/>
        <v>0</v>
      </c>
      <c r="AM19" s="831">
        <f t="shared" si="7"/>
        <v>9672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425</v>
      </c>
      <c r="BD19" s="823">
        <f t="shared" si="7"/>
        <v>1996</v>
      </c>
      <c r="BE19" s="823">
        <f t="shared" si="7"/>
        <v>0</v>
      </c>
      <c r="BF19" s="833">
        <f t="shared" si="7"/>
        <v>0</v>
      </c>
      <c r="BG19" s="918">
        <f>IF(ISNUMBER(Datos!K19/Datos!J19),Datos!K19/Datos!J19," - ")</f>
        <v>1.071548538797447</v>
      </c>
      <c r="BH19" s="918">
        <f>IF(ISNUMBER(((Datos!L19/Datos!K19)*11)/factor_trimestre),((Datos!L19/Datos!K19)*11)/factor_trimestre," - ")</f>
        <v>6.3771159874608161</v>
      </c>
      <c r="BI19" s="816">
        <f>IF(ISNUMBER(Datos!J19/Datos!I19),Datos!J19/Datos!I19," - ")</f>
        <v>0.42638212546548265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-1.0835875533862112</v>
      </c>
      <c r="BM19" s="892">
        <f>IF(ISNUMBER((Datos!P19-Datos!Q19+R19)/(Datos!R19-Datos!P19+Datos!Q19-R19)),(Datos!P19-Datos!Q19+R19)/(Datos!R19-Datos!P19+Datos!Q19-R19)," - ")</f>
        <v>1.5113350125944584E-2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717.2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852.7463475930773</v>
      </c>
      <c r="G21" s="555">
        <f>IF(ISNUMBER(STDEV(G8:G18)),STDEV(G8:G18),"-")</f>
        <v>835.14352059990256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902.53742304682305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122.56862023644823</v>
      </c>
      <c r="BD21" s="554"/>
      <c r="BE21" s="554">
        <f>IF(ISNUMBER(STDEV(BE8:BE18)),STDEV(BE8:BE18),"-")</f>
        <v>0</v>
      </c>
      <c r="BF21" s="559">
        <f>IF(ISNUMBER(STDEV(BF8:BF18)),STDEV(BF8:BF18),"-")</f>
        <v>0</v>
      </c>
      <c r="BG21" s="778">
        <f>IF(ISNUMBER(STDEV(BG8:BG18)),STDEV(BG8:BG18),"-")</f>
        <v>0.20466581534227712</v>
      </c>
      <c r="BH21" s="779">
        <f>IF(ISNUMBER(STDEV(BH8:BH18)),STDEV(BH8:BH18),"-")</f>
        <v>6.165484465761577</v>
      </c>
      <c r="BI21" s="252">
        <f>IF(ISNUMBER(STDEV(BI8:BI18)),STDEV(BI8:BI18),"-")</f>
        <v>7.2251709818938636E-2</v>
      </c>
      <c r="BJ21" s="233" t="str">
        <f>IF(ISNUMBER(BL21/BM21),BL21/BM21," - ")</f>
        <v xml:space="preserve"> - </v>
      </c>
      <c r="BK21" s="578"/>
      <c r="BL21" s="562">
        <f>IF(ISNUMBER(STDEV(BL8:BL18)),STDEV(BL8:BL18),"-")</f>
        <v>0.66829373602514086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vleGaV5XuDuel2Ci3kxNyG7v038cMHQa7HSVdaUxDEifywIm6tpFehbRadvKn1LvGFf/v/JZkDErOr2e4M2g==" saltValue="XqWiC70SB4emgn22zUHx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IGUALADA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81</v>
      </c>
      <c r="G10" s="228">
        <f>IF(ISNUMBER(Datos!I10),Datos!I10," - ")</f>
        <v>81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1</v>
      </c>
      <c r="AA10" s="335">
        <f>IF(ISNUMBER(Datos!L10),Datos!L10,"-")</f>
        <v>89</v>
      </c>
      <c r="AB10" s="337"/>
      <c r="AC10" s="337"/>
      <c r="AD10" s="487"/>
      <c r="AE10" s="487">
        <f>IF(ISNUMBER(Datos!R10),Datos!R10," - ")</f>
        <v>87</v>
      </c>
      <c r="AF10" s="232" t="str">
        <f>IF(ISNUMBER(Datos!BV10),Datos!BV10," - ")</f>
        <v xml:space="preserve"> - </v>
      </c>
      <c r="AG10" s="228" t="str">
        <f>IF(ISNUMBER(Datos!DV10),Datos!DV10," - ")</f>
        <v xml:space="preserve"> - </v>
      </c>
      <c r="AH10" s="301"/>
      <c r="AI10" s="230"/>
      <c r="AJ10" s="228">
        <f>IF(ISNUMBER(Datos!M10),Datos!M10," - ")</f>
        <v>7</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361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249</v>
      </c>
      <c r="AA12" s="335" t="str">
        <f>IF(ISNUMBER(IF(J_V="SI",Datos!L12,Datos!L12+Datos!AB12)-IF(Monitorios="SI",Datos!CD12,0)),
                          IF(J_V="SI",Datos!L12,Datos!L12+Datos!AB12)-IF(Monitorios="SI",Datos!CD12,0),
                          " - ")</f>
        <v xml:space="preserve"> - </v>
      </c>
      <c r="AB12" s="337"/>
      <c r="AC12" s="337"/>
      <c r="AD12" s="487"/>
      <c r="AE12" s="487">
        <f>IF(ISNUMBER(Datos!R12),Datos!R12," - ")</f>
        <v>9356</v>
      </c>
      <c r="AF12" s="232" t="str">
        <f>IF(ISNUMBER(Datos!BV12),Datos!BV12," - ")</f>
        <v xml:space="preserve"> - </v>
      </c>
      <c r="AG12" s="228" t="str">
        <f>IF(ISNUMBER(Datos!DV12),Datos!DV12," - ")</f>
        <v xml:space="preserve"> - </v>
      </c>
      <c r="AH12" s="301"/>
      <c r="AI12" s="230"/>
      <c r="AJ12" s="228">
        <f>IF(ISNUMBER(Datos!M12),Datos!M12," - ")</f>
        <v>275</v>
      </c>
      <c r="AK12" s="232">
        <f>IF(ISNUMBER(Datos!N12),Datos!N12," - ")</f>
        <v>801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10.665524331734064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1.2115967113803548E-2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81</v>
      </c>
      <c r="G13" s="901">
        <f>SUBTOTAL(9,G8:G12)</f>
        <v>81</v>
      </c>
      <c r="H13" s="911"/>
      <c r="I13" s="901">
        <f t="shared" ref="I13:N13" si="0">SUBTOTAL(9,I8:I12)</f>
        <v>0</v>
      </c>
      <c r="J13" s="870">
        <f t="shared" si="0"/>
        <v>0</v>
      </c>
      <c r="K13" s="911">
        <f t="shared" si="0"/>
        <v>0</v>
      </c>
      <c r="L13" s="911">
        <f t="shared" si="0"/>
        <v>0</v>
      </c>
      <c r="M13" s="911">
        <f t="shared" si="0"/>
        <v>0</v>
      </c>
      <c r="N13" s="911">
        <f t="shared" si="0"/>
        <v>362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250</v>
      </c>
      <c r="AA13" s="903">
        <f t="shared" si="2"/>
        <v>89</v>
      </c>
      <c r="AB13" s="903">
        <f t="shared" si="2"/>
        <v>0</v>
      </c>
      <c r="AC13" s="903">
        <f t="shared" si="2"/>
        <v>0</v>
      </c>
      <c r="AD13" s="903">
        <f t="shared" si="2"/>
        <v>0</v>
      </c>
      <c r="AE13" s="903">
        <f t="shared" si="2"/>
        <v>9443</v>
      </c>
      <c r="AF13" s="911">
        <f t="shared" si="2"/>
        <v>0</v>
      </c>
      <c r="AG13" s="911">
        <f t="shared" si="2"/>
        <v>0</v>
      </c>
      <c r="AH13" s="911">
        <f t="shared" si="2"/>
        <v>0</v>
      </c>
      <c r="AI13" s="911">
        <f t="shared" si="2"/>
        <v>0</v>
      </c>
      <c r="AJ13" s="911">
        <f t="shared" si="2"/>
        <v>282</v>
      </c>
      <c r="AK13" s="911">
        <f t="shared" si="2"/>
        <v>802</v>
      </c>
      <c r="AL13" s="911">
        <f t="shared" si="2"/>
        <v>0</v>
      </c>
      <c r="AM13" s="911">
        <f t="shared" si="2"/>
        <v>0</v>
      </c>
      <c r="AN13" s="911">
        <f t="shared" si="2"/>
        <v>0</v>
      </c>
      <c r="AO13" s="907">
        <f>IF(ISNUMBER(((NºAsuntos!I13/NºAsuntos!G13)*11)/factor_trimestre),((NºAsuntos!I13/NºAsuntos!G13)*11)/factor_trimestre," - ")</f>
        <v>10.738127544097694</v>
      </c>
      <c r="AP13" s="913" t="str">
        <f>IF(ISNUMBER(Datos!CI13/Datos!CJ13),Datos!CI13/Datos!CJ13," - ")</f>
        <v xml:space="preserve"> - </v>
      </c>
      <c r="AQ13" s="931">
        <f t="shared" ref="AQ13:AV13" si="3">SUBTOTAL(9,AQ9:AQ12)</f>
        <v>0</v>
      </c>
      <c r="AR13" s="931">
        <f t="shared" si="3"/>
        <v>1.2115967113803548E-2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1558</v>
      </c>
      <c r="G16" s="228">
        <f>IF(ISNUMBER(IF(D_I="SI",Datos!I16,Datos!I16+Datos!AC16)),IF(D_I="SI",Datos!I16,Datos!I16+Datos!AC16)," - ")</f>
        <v>1546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1632</v>
      </c>
      <c r="Z16" s="622">
        <f>IF(ISNUMBER(Datos!Q16),Datos!Q16," - ")</f>
        <v>12</v>
      </c>
      <c r="AA16" s="335">
        <f>IF(ISNUMBER(IF(D_I="SI",Datos!L16,Datos!L16+Datos!AF16)),IF(D_I="SI",Datos!L16,Datos!L16+Datos!AF16)," - ")</f>
        <v>1469</v>
      </c>
      <c r="AB16" s="337"/>
      <c r="AC16" s="337"/>
      <c r="AD16" s="487"/>
      <c r="AE16" s="487">
        <f>IF(ISNUMBER(Datos!R16),Datos!R16," - ")</f>
        <v>221</v>
      </c>
      <c r="AF16" s="232" t="str">
        <f>IF(ISNUMBER(Datos!BV16),Datos!BV16," - ")</f>
        <v xml:space="preserve"> - </v>
      </c>
      <c r="AG16" s="228"/>
      <c r="AH16" s="301"/>
      <c r="AI16" s="230"/>
      <c r="AJ16" s="228">
        <f>IF(ISNUMBER(Datos!M16),Datos!M16," - ")</f>
        <v>141</v>
      </c>
      <c r="AK16" s="232">
        <f>IF(ISNUMBER(Datos!N16),Datos!N16," - ")</f>
        <v>1101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2.7003676470588238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129</v>
      </c>
      <c r="Z17" s="622">
        <f>IF(ISNUMBER(Datos!Q17),Datos!Q17," - ")</f>
        <v>0</v>
      </c>
      <c r="AA17" s="335">
        <f>IF(ISNUMBER(Datos!L17),Datos!L17,"-")</f>
        <v>138</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2</v>
      </c>
      <c r="AK17" s="232">
        <f>IF(ISNUMBER(Datos!N17),Datos!N17," - ")</f>
        <v>93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3.2093023255813953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1558</v>
      </c>
      <c r="G18" s="901">
        <f>SUBTOTAL(9,G15:G17)</f>
        <v>1712</v>
      </c>
      <c r="H18" s="935">
        <f>SUBTOTAL(9,H15:H17)</f>
        <v>0</v>
      </c>
      <c r="I18" s="914">
        <f>SUBTOTAL(9,I15:I17)</f>
        <v>0</v>
      </c>
      <c r="J18" s="870">
        <f>SUBTOTAL(9,J14:J17)</f>
        <v>0</v>
      </c>
      <c r="K18" s="935">
        <f t="shared" ref="K18:S18" si="4">SUBTOTAL(9,K15:K17)</f>
        <v>0</v>
      </c>
      <c r="L18" s="935">
        <f t="shared" si="4"/>
        <v>0</v>
      </c>
      <c r="M18" s="935">
        <f t="shared" si="4"/>
        <v>0</v>
      </c>
      <c r="N18" s="935">
        <f t="shared" si="4"/>
        <v>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1761</v>
      </c>
      <c r="Z18" s="935">
        <f t="shared" si="5"/>
        <v>12</v>
      </c>
      <c r="AA18" s="935">
        <f t="shared" si="5"/>
        <v>1607</v>
      </c>
      <c r="AB18" s="935">
        <f t="shared" si="5"/>
        <v>0</v>
      </c>
      <c r="AC18" s="935">
        <f t="shared" si="5"/>
        <v>0</v>
      </c>
      <c r="AD18" s="935">
        <f t="shared" si="5"/>
        <v>0</v>
      </c>
      <c r="AE18" s="935">
        <f t="shared" si="5"/>
        <v>229</v>
      </c>
      <c r="AF18" s="935">
        <f t="shared" si="5"/>
        <v>0</v>
      </c>
      <c r="AG18" s="935">
        <f t="shared" si="5"/>
        <v>0</v>
      </c>
      <c r="AH18" s="935">
        <f t="shared" si="5"/>
        <v>0</v>
      </c>
      <c r="AI18" s="935">
        <f t="shared" si="5"/>
        <v>0</v>
      </c>
      <c r="AJ18" s="935">
        <f t="shared" si="5"/>
        <v>143</v>
      </c>
      <c r="AK18" s="935">
        <f t="shared" si="5"/>
        <v>1194</v>
      </c>
      <c r="AL18" s="935">
        <f t="shared" si="5"/>
        <v>0</v>
      </c>
      <c r="AM18" s="935">
        <f t="shared" si="5"/>
        <v>0</v>
      </c>
      <c r="AN18" s="935">
        <f t="shared" si="5"/>
        <v>0</v>
      </c>
      <c r="AO18" s="937">
        <f>IF(ISNUMBER(((NºAsuntos!I18/NºAsuntos!G18)*11)/factor_trimestre),((NºAsuntos!I18/NºAsuntos!G18)*11)/factor_trimestre," - ")</f>
        <v>2.7376490630323684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1639</v>
      </c>
      <c r="G19" s="823">
        <f t="shared" si="7"/>
        <v>1793</v>
      </c>
      <c r="H19" s="824">
        <f t="shared" si="7"/>
        <v>0</v>
      </c>
      <c r="I19" s="823">
        <f t="shared" si="7"/>
        <v>0</v>
      </c>
      <c r="J19" s="825">
        <f t="shared" si="7"/>
        <v>0</v>
      </c>
      <c r="K19" s="823">
        <f t="shared" si="7"/>
        <v>0</v>
      </c>
      <c r="L19" s="826">
        <f t="shared" si="7"/>
        <v>0</v>
      </c>
      <c r="M19" s="823">
        <f t="shared" si="7"/>
        <v>0</v>
      </c>
      <c r="N19" s="824">
        <f t="shared" si="7"/>
        <v>406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1776</v>
      </c>
      <c r="Z19" s="830">
        <f t="shared" si="8"/>
        <v>262</v>
      </c>
      <c r="AA19" s="831">
        <f t="shared" si="8"/>
        <v>1696</v>
      </c>
      <c r="AB19" s="831">
        <f t="shared" si="8"/>
        <v>0</v>
      </c>
      <c r="AC19" s="831">
        <f t="shared" si="8"/>
        <v>0</v>
      </c>
      <c r="AD19" s="832">
        <f t="shared" si="8"/>
        <v>0</v>
      </c>
      <c r="AE19" s="832">
        <f t="shared" si="8"/>
        <v>9672</v>
      </c>
      <c r="AF19" s="833">
        <f t="shared" si="8"/>
        <v>0</v>
      </c>
      <c r="AG19" s="834">
        <f t="shared" si="8"/>
        <v>0</v>
      </c>
      <c r="AH19" s="835">
        <f t="shared" si="8"/>
        <v>0</v>
      </c>
      <c r="AI19" s="833">
        <f t="shared" si="8"/>
        <v>0</v>
      </c>
      <c r="AJ19" s="823">
        <f t="shared" si="8"/>
        <v>425</v>
      </c>
      <c r="AK19" s="823">
        <f t="shared" si="8"/>
        <v>1996</v>
      </c>
      <c r="AL19" s="823">
        <f t="shared" si="8"/>
        <v>0</v>
      </c>
      <c r="AM19" s="836">
        <f t="shared" si="8"/>
        <v>0</v>
      </c>
      <c r="AN19" s="826">
        <f>IF(ISNUMBER(Datos!K19/Datos!J19),Datos!K19/Datos!J19," - ")</f>
        <v>1.071548538797447</v>
      </c>
      <c r="AO19" s="826">
        <f>IF(ISNUMBER(FIND("06",Criterios!A8,1)),(IF(ISNUMBER(((Datos!R19/Datos!Q19)*11)/factor_trimestre),((Datos!R19/Datos!Q19)*11)/factor_trimestre," - ")),(IF(ISNUMBER(((Datos!L19/Datos!K19)*11)/factor_trimestre),((Datos!L19/Datos!K19)*11)/factor_trimestre," - ")))</f>
        <v>6.3771159874608161</v>
      </c>
      <c r="AP19" s="837" t="str">
        <f>IF(ISNUMBER(Datos!CI19/Datos!CJ19),Datos!CI19/Datos!CJ19," - ")</f>
        <v xml:space="preserve"> - </v>
      </c>
      <c r="AQ19" s="837">
        <f>IF(OR(ISNUMBER(FIND("01",Criterios!A8,1)),ISNUMBER(FIND("02",Criterios!A8,1)),ISNUMBER(FIND("03",Criterios!A8,1)),ISNUMBER(FIND("04",Criterios!A8,1))),(J19-Y19+K19)/(F19-K19),(I19-Y19+K19)/(F19-K19))</f>
        <v>-1.0835875533862112</v>
      </c>
      <c r="AR19" s="837">
        <f>IF(ISNUMBER((Datos!P19-Datos!Q19+O19)/(Datos!R19-Datos!P19+Datos!Q19-O19)),(Datos!P19-Datos!Q19+O19)/(Datos!R19-Datos!P19+Datos!Q19-O19)," - ")</f>
        <v>1.5113350125944584E-2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717.2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852.7463475930773</v>
      </c>
      <c r="G21" s="555">
        <f>IF(ISNUMBER(STDEV(G8:G18)),STDEV(G8:G18),"-")</f>
        <v>835.14352059990256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122.56862023644823</v>
      </c>
      <c r="AK21" s="255"/>
      <c r="AL21" s="255">
        <f>IF(ISNUMBER(STDEV(AL8:AL18)),STDEV(AL8:AL18),"-")</f>
        <v>0</v>
      </c>
      <c r="AM21" s="257">
        <f>IF(ISNUMBER(STDEV(AM8:AM18)),STDEV(AM8:AM18),"-")</f>
        <v>0</v>
      </c>
      <c r="AN21" s="542">
        <f>IF(ISNUMBER(STDEV(AN8:AN18)),STDEV(AN8:AN18),"-")</f>
        <v>0</v>
      </c>
      <c r="AO21" s="543">
        <f>IF(ISNUMBER(STDEV(AO8:AO18)),STDEV(AO8:AO18),"-")</f>
        <v>6.1541512082024958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C0ZWqYZ+hMWKlzSQhJAc9HEkIW8SuQKjtxVR3pFJf3h4N2rM2hFUA8EB41ty6VnjxkNoD6jS8/7xMAXcer88g==" saltValue="lgYWUsC5Vw9le5quf0XS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XlC5bRABqXQeLdq6l39wUa9wpYgN1l+TXgGo2HSW7BJepneVPRuUi1ijFPcQ62sZinqYxJUhc8n2Jol/D9J2w==" saltValue="iu9PtkIM8VMRQwolr6On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Huw2Dl2WcgH2uxkdhHijZttZCVf04McnkW9ED4ygUxdsyHhlqMGOfhL95+ra5uG+yfniOHLMURBIhh0/3XOMQ==" saltValue="+UwFuFQ/l4bOH32yQ18M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IGUALADA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0.19131614654002713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0.13528094456893242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XeTrk6Z2P7TtBiCMcdjGxBeRTaAtFhwFFtL4VG9FbHPt8uvZnICx2JS8b7Fd/glLZfTDk3/I6VCt+xF6Dmg9Q==" saltValue="hkP/3kuyF0bfq9iUzZa+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AwBCumVQhkYHbFik4zIGGdWBVMKVK9x8uPU7B2j8LvWRhZnE7xzj7YXYMoevFUbeTAx3vvXAEvYipi9C8fXfg==" saltValue="W7geOWpcF4Pnhw7o5cNe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IGUALADA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81</v>
      </c>
      <c r="D10" s="407">
        <f>IF(ISNUMBER(C10/Datos!BH10),C10/Datos!BH10," - ")</f>
        <v>81</v>
      </c>
      <c r="E10" s="406">
        <f>IF(ISNUMBER(Datos!J10),Datos!J10," - ")</f>
        <v>23</v>
      </c>
      <c r="F10" s="407">
        <f>IF(ISNUMBER(E10/B10),E10/B10," - ")</f>
        <v>23</v>
      </c>
      <c r="G10" s="406">
        <f>IF(ISNUMBER(Datos!K10),Datos!K10," - ")</f>
        <v>15</v>
      </c>
      <c r="H10" s="407">
        <f>IF(ISNUMBER(G10/B10),G10/B10," - ")</f>
        <v>15</v>
      </c>
      <c r="I10" s="406">
        <f>IF(ISNUMBER(Datos!L10),Datos!L10," - ")</f>
        <v>89</v>
      </c>
      <c r="J10" s="407">
        <f>IF(ISNUMBER(I10/B10),I10/B10," - ")</f>
        <v>89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5279</v>
      </c>
      <c r="D12" s="407">
        <f>IF(ISNUMBER(C12/Datos!BH12),C12/Datos!BH12," - ")</f>
        <v>1055.8</v>
      </c>
      <c r="E12" s="406">
        <f>IF(ISNUMBER(IF(J_V="SI",Datos!J12,Datos!J12+Datos!Z12)),IF(J_V="SI",Datos!J12,Datos!J12+Datos!Z12)," - ")</f>
        <v>1367</v>
      </c>
      <c r="F12" s="407">
        <f>IF(ISNUMBER(E12/B12),E12/B12," - ")</f>
        <v>273.39999999999998</v>
      </c>
      <c r="G12" s="406">
        <f>IF(ISNUMBER(IF(J_V="SI",Datos!K12,Datos!K12+Datos!AA12)),IF(J_V="SI",Datos!K12,Datos!K12+Datos!AA12)," - ")</f>
        <v>1459</v>
      </c>
      <c r="H12" s="407">
        <f>IF(ISNUMBER(G12/B12),G12/B12," - ")</f>
        <v>291.8</v>
      </c>
      <c r="I12" s="406">
        <f>IF(ISNUMBER(IF(J_V="SI",Datos!L12,Datos!L12+Datos!AB12)),IF(J_V="SI",Datos!L12,Datos!L12+Datos!AB12)," - ")</f>
        <v>5187</v>
      </c>
      <c r="J12" s="407">
        <f>IF(ISNUMBER(I12/B12),I12/B12," - ")</f>
        <v>1037.4000000000001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5360</v>
      </c>
      <c r="D13" s="853" t="str">
        <f>IF(ISNUMBER(C13/Datos!BI13),C13/Datos!BI13," - ")</f>
        <v xml:space="preserve"> - </v>
      </c>
      <c r="E13" s="852">
        <f>SUBTOTAL(9,E8:E12)</f>
        <v>1390</v>
      </c>
      <c r="F13" s="853">
        <f>IF(ISNUMBER(E13/B13),E13/B13," - ")</f>
        <v>278</v>
      </c>
      <c r="G13" s="852">
        <f>SUBTOTAL(9,G8:G12)</f>
        <v>1474</v>
      </c>
      <c r="H13" s="853">
        <f>IF(ISNUMBER(G13/B13),G13/B13," - ")</f>
        <v>294.8</v>
      </c>
      <c r="I13" s="852">
        <f>SUBTOTAL(9,I8:I12)</f>
        <v>5276</v>
      </c>
      <c r="J13" s="853">
        <f>IF(ISNUMBER(I13/B13),I13/B13," - ")</f>
        <v>1055.2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1546</v>
      </c>
      <c r="D16" s="407">
        <f>IF(ISNUMBER(C16/Datos!BH16),C16/Datos!BH16," - ")</f>
        <v>309.2</v>
      </c>
      <c r="E16" s="406">
        <f>IF(ISNUMBER(IF(D_I="SI",Datos!J16,Datos!J16+Datos!AD16)),IF(D_I="SI",Datos!J16,Datos!J16+Datos!AD16)," - ")</f>
        <v>1543</v>
      </c>
      <c r="F16" s="407">
        <f>IF(ISNUMBER(E16/B16),E16/B16," - ")</f>
        <v>308.60000000000002</v>
      </c>
      <c r="G16" s="406">
        <f>IF(ISNUMBER(IF(D_I="SI",Datos!K16,Datos!K16+Datos!AE16)),IF(D_I="SI",Datos!K16,Datos!K16+Datos!AE16)," - ")</f>
        <v>1632</v>
      </c>
      <c r="H16" s="407">
        <f>IF(ISNUMBER(G16/B16),G16/B16," - ")</f>
        <v>326.39999999999998</v>
      </c>
      <c r="I16" s="406">
        <f>IF(ISNUMBER(IF(D_I="SI",Datos!L16,Datos!L16+Datos!AF16)),IF(D_I="SI",Datos!L16,Datos!L16+Datos!AF16)," - ")</f>
        <v>1469</v>
      </c>
      <c r="J16" s="407">
        <f>IF(ISNUMBER(I16/B16),I16/B16," - ")</f>
        <v>293.8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166</v>
      </c>
      <c r="D17" s="407">
        <f>IF(ISNUMBER(C17/Datos!BH17),C17/Datos!BH17," - ")</f>
        <v>166</v>
      </c>
      <c r="E17" s="406">
        <f>IF(ISNUMBER(IF(D_I="SI",Datos!J17,Datos!J17+Datos!AD17)),IF(D_I="SI",Datos!J17,Datos!J17+Datos!AD17)," - ")</f>
        <v>101</v>
      </c>
      <c r="F17" s="407">
        <f>IF(ISNUMBER(E17/B17),E17/B17," - ")</f>
        <v>101</v>
      </c>
      <c r="G17" s="406">
        <f>IF(ISNUMBER(IF(D_I="SI",Datos!K17,Datos!K17+Datos!AE17)),IF(D_I="SI",Datos!K17,Datos!K17+Datos!AE17)," - ")</f>
        <v>129</v>
      </c>
      <c r="H17" s="407">
        <f>IF(ISNUMBER(G17/B17),G17/B17," - ")</f>
        <v>129</v>
      </c>
      <c r="I17" s="406">
        <f>IF(ISNUMBER(IF(D_I="SI",Datos!L17,Datos!L17+Datos!AF17)),IF(D_I="SI",Datos!L17,Datos!L17+Datos!AF17)," - ")</f>
        <v>138</v>
      </c>
      <c r="J17" s="407">
        <f>IF(ISNUMBER(I17/B17),I17/B17," - ")</f>
        <v>138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1712</v>
      </c>
      <c r="D18" s="853" t="str">
        <f>IF(ISNUMBER(C18/Datos!BI18),C18/Datos!BI18," - ")</f>
        <v xml:space="preserve"> - </v>
      </c>
      <c r="E18" s="852">
        <f>SUBTOTAL(9,E14:E17)</f>
        <v>1644</v>
      </c>
      <c r="F18" s="853">
        <f>IF(ISNUMBER(E18/B18),E18/B18," - ")</f>
        <v>328.8</v>
      </c>
      <c r="G18" s="852">
        <f>SUBTOTAL(9,G14:G17)</f>
        <v>1761</v>
      </c>
      <c r="H18" s="853">
        <f>IF(ISNUMBER(G18/B18),G18/B18," - ")</f>
        <v>352.2</v>
      </c>
      <c r="I18" s="852">
        <f>SUBTOTAL(9,I14:I17)</f>
        <v>1607</v>
      </c>
      <c r="J18" s="853">
        <f>IF(ISNUMBER(I18/B18),I18/B18," - ")</f>
        <v>321.39999999999998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7072</v>
      </c>
      <c r="D19" s="798" t="str">
        <f>IF(ISNUMBER(C19/Datos!BI19),C19/Datos!BI19," - ")</f>
        <v xml:space="preserve"> - </v>
      </c>
      <c r="E19" s="797">
        <f>SUBTOTAL(9,E9:E18)</f>
        <v>3034</v>
      </c>
      <c r="F19" s="798">
        <f>IF(ISNUMBER(E19/B19),E19/B19," - ")</f>
        <v>606.79999999999995</v>
      </c>
      <c r="G19" s="797">
        <f>SUBTOTAL(9,G9:G18)</f>
        <v>3235</v>
      </c>
      <c r="H19" s="798">
        <f>IF(ISNUMBER(G19/B19),G19/B19," - ")</f>
        <v>647</v>
      </c>
      <c r="I19" s="797">
        <f>SUBTOTAL(9,I9:I18)</f>
        <v>6883</v>
      </c>
      <c r="J19" s="798">
        <f>IF(ISNUMBER(I19/B19),I19/B19," - ")</f>
        <v>1376.6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oTfHZhAw0EzbXVnwH7LYeVxo1u6aJlymk19fYy1ZybAOXyG+fMjKlje9GjA0PFsmYYsdVh1oUA4mFwhk6aWpw==" saltValue="tzdZQf/X09zp84rtLiYv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IGUALADA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81</v>
      </c>
      <c r="G10" s="687">
        <f>IF(ISNUMBER(Datos!I10),Datos!I10," - ")</f>
        <v>81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89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17.8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361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9356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275</v>
      </c>
      <c r="AM12" s="693">
        <f>IF(ISNUMBER(Datos!N12+DatosP!N16),Datos!N12+DatosP!N16," - ")</f>
        <v>801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10.665524331734064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1.2115967113803548E-2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81</v>
      </c>
      <c r="G13" s="941">
        <f t="shared" si="0"/>
        <v>81</v>
      </c>
      <c r="H13" s="941">
        <f t="shared" si="0"/>
        <v>0</v>
      </c>
      <c r="I13" s="943">
        <f t="shared" si="0"/>
        <v>0</v>
      </c>
      <c r="J13" s="942">
        <f t="shared" si="0"/>
        <v>0</v>
      </c>
      <c r="K13" s="942">
        <f t="shared" si="0"/>
        <v>0</v>
      </c>
      <c r="L13" s="944">
        <f t="shared" si="0"/>
        <v>0</v>
      </c>
      <c r="M13" s="944">
        <f t="shared" si="0"/>
        <v>0</v>
      </c>
      <c r="N13" s="942">
        <f t="shared" si="0"/>
        <v>362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249</v>
      </c>
      <c r="AE13" s="942">
        <f t="shared" si="1"/>
        <v>0</v>
      </c>
      <c r="AF13" s="942">
        <f t="shared" si="1"/>
        <v>89</v>
      </c>
      <c r="AG13" s="942">
        <f t="shared" si="1"/>
        <v>0</v>
      </c>
      <c r="AH13" s="942">
        <f t="shared" si="1"/>
        <v>9356</v>
      </c>
      <c r="AI13" s="942">
        <f t="shared" si="1"/>
        <v>0</v>
      </c>
      <c r="AJ13" s="942">
        <f t="shared" si="1"/>
        <v>0</v>
      </c>
      <c r="AK13" s="942">
        <f t="shared" si="1"/>
        <v>0</v>
      </c>
      <c r="AL13" s="942">
        <f t="shared" si="1"/>
        <v>282</v>
      </c>
      <c r="AM13" s="942">
        <f t="shared" si="1"/>
        <v>802</v>
      </c>
      <c r="AN13" s="942">
        <f t="shared" si="1"/>
        <v>0</v>
      </c>
      <c r="AO13" s="942">
        <f t="shared" si="1"/>
        <v>0</v>
      </c>
      <c r="AP13" s="947">
        <f>IF(ISNUMBER(((Datos!L13/Datos!K13)*11)/factor_trimestre),((Datos!L13/Datos!K13)*11)/factor_trimestre," - ")</f>
        <v>10.862141357592721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-0.18518518518518517</v>
      </c>
      <c r="AU13" s="942" t="str">
        <f>IF(ISNUMBER((DatosP!#REF!-DatosP!#REF!+DatosP!#REF!)/(DatosP!#REF!+DatosP!#REF!-DatosP!#REF!-DatosP!#REF!)),(DatosP!#REF!-DatosP!#REF!+DatosP!#REF!)/(DatosP!#REF!+DatosP!#REF!-DatosP!#REF!-DatosP!#REF!)," - ")</f>
        <v xml:space="preserve"> - </v>
      </c>
      <c r="AV13" s="948">
        <f>SUBTOTAL(9,AV9:AV12)</f>
        <v>1.2115967113803548E-2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2.7376490630323684</v>
      </c>
      <c r="AQ18" s="947">
        <f>IF(ISNUMBER(((Datos!M18/Datos!L18)*11)/factor_trimestre),((Datos!M18/Datos!L18)*11)/factor_trimestre," - ")</f>
        <v>0.26695706285003112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0.16243654822335024</v>
      </c>
      <c r="AW18" s="949">
        <f>IF(ISNUMBER((Datos!Q18-Datos!R18)/(Datos!S18-Datos!Q18+Datos!R18)),(Datos!Q18-Datos!R18)/(Datos!S18-Datos!Q18+Datos!R18)," - ")</f>
        <v>-0.11349372384937238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81</v>
      </c>
      <c r="G19" s="954">
        <f t="shared" si="4"/>
        <v>81</v>
      </c>
      <c r="H19" s="954">
        <f t="shared" si="4"/>
        <v>0</v>
      </c>
      <c r="I19" s="955">
        <f t="shared" si="4"/>
        <v>0</v>
      </c>
      <c r="J19" s="956">
        <f t="shared" si="4"/>
        <v>0</v>
      </c>
      <c r="K19" s="956">
        <f t="shared" si="4"/>
        <v>0</v>
      </c>
      <c r="L19" s="956">
        <f t="shared" si="4"/>
        <v>0</v>
      </c>
      <c r="M19" s="956">
        <f t="shared" si="4"/>
        <v>0</v>
      </c>
      <c r="N19" s="955">
        <f t="shared" si="4"/>
        <v>362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249</v>
      </c>
      <c r="AE19" s="960">
        <f t="shared" si="5"/>
        <v>0</v>
      </c>
      <c r="AF19" s="961">
        <f t="shared" si="5"/>
        <v>89</v>
      </c>
      <c r="AG19" s="961">
        <f t="shared" si="5"/>
        <v>0</v>
      </c>
      <c r="AH19" s="961">
        <f t="shared" si="5"/>
        <v>9356</v>
      </c>
      <c r="AI19" s="961">
        <f t="shared" si="5"/>
        <v>0</v>
      </c>
      <c r="AJ19" s="962">
        <f t="shared" si="5"/>
        <v>0</v>
      </c>
      <c r="AK19" s="962">
        <f t="shared" si="5"/>
        <v>0</v>
      </c>
      <c r="AL19" s="954">
        <f t="shared" si="5"/>
        <v>282</v>
      </c>
      <c r="AM19" s="954">
        <f t="shared" si="5"/>
        <v>802</v>
      </c>
      <c r="AN19" s="954">
        <f t="shared" si="5"/>
        <v>0</v>
      </c>
      <c r="AO19" s="954">
        <f t="shared" si="5"/>
        <v>0</v>
      </c>
      <c r="AP19" s="954">
        <f>IF(ISNUMBER(((Datos!L19/Datos!K19)*11)/factor_trimestre),((Datos!L19/Datos!K19)*11)/factor_trimestre," - ")</f>
        <v>6.3771159874608161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-0.18518518518518517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1.5113350125944584E-2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46.765371804359688</v>
      </c>
      <c r="G21" s="740">
        <f>IF(ISNUMBER(STDEV(G8:G18)),STDEV(G8:G18),"-")</f>
        <v>46.765371804359688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158.82275235830247</v>
      </c>
      <c r="AM21" s="739"/>
      <c r="AN21" s="739">
        <f>IF(ISNUMBER(STDEV(AN8:AN18)),STDEV(AN8:AN18),"-")</f>
        <v>0</v>
      </c>
      <c r="AO21" s="745">
        <f>IF(ISNUMBER(STDEV(AO8:AO18)),STDEV(AO8:AO18),"-")</f>
        <v>0</v>
      </c>
      <c r="AP21" s="782">
        <f>IF(ISNUMBER(STDEV(AP8:AP18)),STDEV(AP8:AP18),"-")</f>
        <v>6.1563400986760097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C3AcqDIh144o0SEXX8wZq4h0DyAXNVB2Q4EHhEPi3k3NL4sbIE5+ynsscJhdIqlFSi3M7wmHEoLtbUq3PkXA==" saltValue="sxnY3HxtT9/daJs60Yzy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IGUALADA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VEC41cHV3weq082V3z3NGhoMSx1fGQumCl0OaQVCyQ84qj7EMYYN/LBu60HIkpY5DAdOZD5tDXNJ6L5OOYsqQ==" saltValue="fFpkT0WgBrDI1ERoWP3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IGUALADA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1</v>
      </c>
      <c r="G10" s="407">
        <f>IF(ISNUMBER(F10/B10),F10/B10," - ")</f>
        <v>1</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275</v>
      </c>
      <c r="E12" s="407">
        <f t="shared" si="0"/>
        <v>55</v>
      </c>
      <c r="F12" s="406">
        <f>IF(ISNUMBER(Datos!N12),Datos!N12," - ")</f>
        <v>801</v>
      </c>
      <c r="G12" s="407">
        <f t="shared" si="1"/>
        <v>160.19999999999999</v>
      </c>
      <c r="H12" s="406">
        <f>IF(ISNUMBER(Datos!O12),Datos!O12," - ")</f>
        <v>476</v>
      </c>
      <c r="I12" s="407">
        <f t="shared" si="2"/>
        <v>95.2</v>
      </c>
    </row>
    <row r="13" spans="1:9" ht="14.25" thickTop="1" thickBot="1">
      <c r="A13" s="851" t="str">
        <f>Datos!A13</f>
        <v>TOTAL</v>
      </c>
      <c r="B13" s="852">
        <f>Datos!AO13</f>
        <v>6</v>
      </c>
      <c r="C13" s="854">
        <f>Datos!AR13</f>
        <v>5</v>
      </c>
      <c r="D13" s="852">
        <f>SUBTOTAL(9,D9:D12)</f>
        <v>282</v>
      </c>
      <c r="E13" s="853">
        <f t="shared" si="0"/>
        <v>47</v>
      </c>
      <c r="F13" s="852">
        <f>SUBTOTAL(9,F9:F12)</f>
        <v>802</v>
      </c>
      <c r="G13" s="853">
        <f t="shared" si="1"/>
        <v>133.66666666666666</v>
      </c>
      <c r="H13" s="852">
        <f>SUBTOTAL(9,H9:H12)</f>
        <v>477</v>
      </c>
      <c r="I13" s="853">
        <f>IF(ISNUMBER(H13/B13),H13/B13," - ")</f>
        <v>79.5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141</v>
      </c>
      <c r="E16" s="407">
        <f t="shared" si="3"/>
        <v>28.2</v>
      </c>
      <c r="F16" s="406">
        <f>IF(ISNUMBER(Datos!N16),Datos!N16," - ")</f>
        <v>1101</v>
      </c>
      <c r="G16" s="407">
        <f t="shared" si="4"/>
        <v>220.2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93</v>
      </c>
      <c r="G17" s="407">
        <f>IF(ISNUMBER(F17/B17),F17/B17," - ")</f>
        <v>93</v>
      </c>
      <c r="H17" s="406">
        <f>IF(ISNUMBER(Datos!O17),Datos!O17," - ")</f>
        <v>0</v>
      </c>
      <c r="I17" s="407">
        <f t="shared" si="5"/>
        <v>0</v>
      </c>
    </row>
    <row r="18" spans="1:9" ht="14.25" thickTop="1" thickBot="1">
      <c r="A18" s="851" t="str">
        <f>Datos!A18</f>
        <v>TOTAL</v>
      </c>
      <c r="B18" s="852">
        <f>Datos!AO18</f>
        <v>6</v>
      </c>
      <c r="C18" s="854">
        <f>Datos!AR18</f>
        <v>5</v>
      </c>
      <c r="D18" s="852">
        <f>SUBTOTAL(9,D15:D17)</f>
        <v>143</v>
      </c>
      <c r="E18" s="853">
        <f t="shared" si="3"/>
        <v>23.833333333333332</v>
      </c>
      <c r="F18" s="852">
        <f>SUBTOTAL(9,F15:F17)</f>
        <v>1194</v>
      </c>
      <c r="G18" s="853">
        <f t="shared" si="4"/>
        <v>199</v>
      </c>
      <c r="H18" s="852">
        <f>SUBTOTAL(9,H15:H17)</f>
        <v>0</v>
      </c>
      <c r="I18" s="853">
        <f>IF(ISNUMBER(H18/B18),H18/B18," - ")</f>
        <v>0</v>
      </c>
    </row>
    <row r="19" spans="1:9" ht="14.25" thickTop="1" thickBot="1">
      <c r="A19" s="796" t="str">
        <f>Datos!A19</f>
        <v>TOTAL JURISDICCIONES</v>
      </c>
      <c r="B19" s="797">
        <f>Datos!AP19</f>
        <v>5</v>
      </c>
      <c r="C19" s="797">
        <f>Datos!AR19</f>
        <v>5</v>
      </c>
      <c r="D19" s="797">
        <f>SUBTOTAL(9,D8:D18)</f>
        <v>425</v>
      </c>
      <c r="E19" s="798">
        <f>IF(ISNUMBER(D19/B19),D19/B19," - ")</f>
        <v>85</v>
      </c>
      <c r="F19" s="797">
        <f>SUBTOTAL(9,F8:F18)</f>
        <v>1996</v>
      </c>
      <c r="G19" s="798">
        <f>IF(ISNUMBER(F19/B19),F19/B19," - ")</f>
        <v>399.2</v>
      </c>
      <c r="H19" s="797">
        <f>SUBTOTAL(9,H8:H18)</f>
        <v>477</v>
      </c>
      <c r="I19" s="798">
        <f>IF(ISNUMBER(H19/B19),H19/B19," - ")</f>
        <v>95.4</v>
      </c>
    </row>
    <row r="22" spans="1:9">
      <c r="A22" s="394" t="str">
        <f>Criterios!A4</f>
        <v>Fecha Informe: 07 mar. 2024</v>
      </c>
    </row>
    <row r="27" spans="1:9">
      <c r="A27" s="417"/>
    </row>
  </sheetData>
  <sheetProtection algorithmName="SHA-512" hashValue="MlNT9vDvIJbUBK/yJeXkrc3dItbnkbS4wR9JSzOhGups36nC2NHrt8EFQovKIkb7JU9L4EBm8oK6YimMk4p9QQ==" saltValue="cJ0s+3OZimU4ckzgEqA1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IGUALADA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87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361</v>
      </c>
      <c r="C12" s="437">
        <f>IF(ISNUMBER(Datos!Q12),Datos!Q12," - ")</f>
        <v>249</v>
      </c>
      <c r="D12" s="411">
        <f>IF(ISNUMBER(Datos!R12),Datos!R12," - ")</f>
        <v>9356</v>
      </c>
    </row>
    <row r="13" spans="1:4" ht="14.25" thickTop="1" thickBot="1">
      <c r="A13" s="851" t="str">
        <f>Datos!A13</f>
        <v>TOTAL</v>
      </c>
      <c r="B13" s="852">
        <f>SUBTOTAL(9,B9:B12)</f>
        <v>362</v>
      </c>
      <c r="C13" s="856">
        <f>SUBTOTAL(9,C9:C12)</f>
        <v>250</v>
      </c>
      <c r="D13" s="854">
        <f>SUBTOTAL(9,D9:D12)</f>
        <v>9443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44</v>
      </c>
      <c r="C16" s="437">
        <f>IF(ISNUMBER(Datos!Q16),Datos!Q16," - ")</f>
        <v>12</v>
      </c>
      <c r="D16" s="411">
        <f>IF(ISNUMBER(Datos!R16),Datos!R16," - ")</f>
        <v>221</v>
      </c>
    </row>
    <row r="17" spans="1:4" ht="13.5" thickBot="1">
      <c r="A17" s="405" t="str">
        <f>Datos!A17</f>
        <v>Jdos. Violencia contra la mujer</v>
      </c>
      <c r="B17" s="436">
        <f>IF(ISNUMBER(Datos!P17),Datos!P17," - ")</f>
        <v>0</v>
      </c>
      <c r="C17" s="437">
        <f>IF(ISNUMBER(Datos!Q17),Datos!Q17," - ")</f>
        <v>0</v>
      </c>
      <c r="D17" s="411">
        <f>IF(ISNUMBER(Datos!R17),Datos!R17," - ")</f>
        <v>8</v>
      </c>
    </row>
    <row r="18" spans="1:4" ht="14.25" thickTop="1" thickBot="1">
      <c r="A18" s="851" t="str">
        <f>Datos!A18</f>
        <v>TOTAL</v>
      </c>
      <c r="B18" s="852">
        <f>SUBTOTAL(9,B15:B17)</f>
        <v>44</v>
      </c>
      <c r="C18" s="856">
        <f>SUBTOTAL(9,C15:C17)</f>
        <v>12</v>
      </c>
      <c r="D18" s="854">
        <f>SUBTOTAL(9,D15:D17)</f>
        <v>229</v>
      </c>
    </row>
    <row r="19" spans="1:4" ht="16.5" customHeight="1" thickTop="1" thickBot="1">
      <c r="A19" s="796" t="str">
        <f>Datos!A19</f>
        <v>TOTAL JURISDICCIONES</v>
      </c>
      <c r="B19" s="801">
        <f>SUBTOTAL(9,B8:B18)</f>
        <v>406</v>
      </c>
      <c r="C19" s="802">
        <f>SUBTOTAL(9,C8:C18)</f>
        <v>262</v>
      </c>
      <c r="D19" s="803">
        <f>SUBTOTAL(9,D8:D18)</f>
        <v>9672</v>
      </c>
    </row>
    <row r="20" spans="1:4" ht="7.5" customHeight="1"/>
    <row r="21" spans="1:4" ht="6" customHeight="1"/>
    <row r="22" spans="1:4">
      <c r="A22" s="394" t="str">
        <f>Criterios!A4</f>
        <v>Fecha Informe: 07 mar. 2024</v>
      </c>
    </row>
    <row r="27" spans="1:4">
      <c r="A27" s="417"/>
    </row>
  </sheetData>
  <sheetProtection algorithmName="SHA-512" hashValue="U9Cm+ULuInH765I8oNvwYM9Xj198jq2J5I0oMjJXGp6krhhQyUrt4fhiawfIOZR8fB3SCuhw2vnVPkikCikhTw==" saltValue="fRh7woYRNqmRBERTet/b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IGUALADA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-0.11956521739130435</v>
      </c>
      <c r="C10" s="459">
        <f>IF(ISNUMBER((Datos!J10-Datos!T10)/Datos!T10),(Datos!J10-Datos!T10)/Datos!T10," - ")</f>
        <v>2.2857142857142856</v>
      </c>
      <c r="D10" s="459">
        <f>IF(ISNUMBER((Datos!K10-Datos!U10)/Datos!U10),(Datos!K10-Datos!U10)/Datos!U10," - ")</f>
        <v>1.5</v>
      </c>
      <c r="E10" s="459">
        <f>IF(ISNUMBER((Datos!L10-Datos!V10)/Datos!V10),(Datos!L10-Datos!V10)/Datos!V10," - ")</f>
        <v>-4.3010752688172046E-2</v>
      </c>
      <c r="F10" s="459">
        <f>IF(ISNUMBER((Datos!M10-Datos!W10)/Datos!W10),(Datos!M10-Datos!W10)/Datos!W10," - ")</f>
        <v>0.4</v>
      </c>
      <c r="G10" s="460" t="str">
        <f>IF(ISNUMBER((Datos!N10-Datos!X10)/Datos!X10),(Datos!N10-Datos!X10)/Datos!X10," - ")</f>
        <v xml:space="preserve"> - </v>
      </c>
      <c r="H10" s="458">
        <f>IF(ISNUMBER(((NºAsuntos!G10/NºAsuntos!E10)-Datos!BD10)/Datos!BD10),((NºAsuntos!G10/NºAsuntos!E10)-Datos!BD10)/Datos!BD10," - ")</f>
        <v>-0.23913043478260865</v>
      </c>
      <c r="I10" s="459">
        <f>IF(ISNUMBER(((NºAsuntos!I10/NºAsuntos!G10)-Datos!BE10)/Datos!BE10),((NºAsuntos!I10/NºAsuntos!G10)-Datos!BE10)/Datos!BE10," - ")</f>
        <v>-0.6172043010752688</v>
      </c>
      <c r="J10" s="464">
        <f>IF(ISNUMBER((('Resol  Asuntos'!D10/NºAsuntos!G10)-Datos!BF10)/Datos!BF10),(('Resol  Asuntos'!D10/NºAsuntos!G10)-Datos!BF10)/Datos!BF10," - ")</f>
        <v>-0.44</v>
      </c>
      <c r="K10" s="465">
        <f>IF(ISNUMBER((((NºAsuntos!C10+NºAsuntos!E10)/NºAsuntos!G10)-Datos!BG10)/Datos!BG10),(((NºAsuntos!C10+NºAsuntos!E10)/NºAsuntos!G10)-Datos!BG10)/Datos!BG10," - ")</f>
        <v>-0.57979797979797976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0.30927579365079366</v>
      </c>
      <c r="C12" s="459">
        <f>IF(ISNUMBER(
   IF(J_V="SI",(Datos!J12-Datos!T12)/Datos!T12,(Datos!J12+Datos!Z12-(Datos!T12+Datos!AH12))/(Datos!T12+Datos!AH12))
     ),IF(J_V="SI",(Datos!J12-Datos!T12)/Datos!T12,(Datos!J12+Datos!Z12-(Datos!T12+Datos!AH12))/(Datos!T12+Datos!AH12))," - ")</f>
        <v>-0.14455569461827283</v>
      </c>
      <c r="D12" s="459">
        <f>IF(ISNUMBER(
   IF(J_V="SI",(Datos!K12-Datos!U12)/Datos!U12,(Datos!K12+Datos!AA12-(Datos!U12+Datos!AI12))/(Datos!U12+Datos!AI12))
     ),IF(J_V="SI",(Datos!K12-Datos!U12)/Datos!U12,(Datos!K12+Datos!AA12-(Datos!U12+Datos!AI12))/(Datos!U12+Datos!AI12))," - ")</f>
        <v>0.14431372549019608</v>
      </c>
      <c r="E12" s="459">
        <f>IF(ISNUMBER(
   IF(J_V="SI",(Datos!L12-Datos!V12)/Datos!V12,(Datos!L12+Datos!AB12-(Datos!V12+Datos!AJ12))/(Datos!V12+Datos!AJ12))
     ),IF(J_V="SI",(Datos!L12-Datos!V12)/Datos!V12,(Datos!L12+Datos!AB12-(Datos!V12+Datos!AJ12))/(Datos!V12+Datos!AJ12))," - ")</f>
        <v>0.19104477611940299</v>
      </c>
      <c r="F12" s="459">
        <f>IF(ISNUMBER((Datos!M12-Datos!W12)/Datos!W12),(Datos!M12-Datos!W12)/Datos!W12," - ")</f>
        <v>7.421875E-2</v>
      </c>
      <c r="G12" s="460">
        <f>IF(ISNUMBER((Datos!N12-Datos!X12)/Datos!X12),(Datos!N12-Datos!X12)/Datos!X12," - ")</f>
        <v>0.19374068554396423</v>
      </c>
      <c r="H12" s="458">
        <f>IF(ISNUMBER(((NºAsuntos!G12/NºAsuntos!E12)-Datos!BD12)/Datos!BD12),((NºAsuntos!G12/NºAsuntos!E12)-Datos!BD12)/Datos!BD12," - ")</f>
        <v>0.33768349183126067</v>
      </c>
      <c r="I12" s="459">
        <f>IF(ISNUMBER(((NºAsuntos!I12/NºAsuntos!G12)-Datos!BE12)/Datos!BE12),((NºAsuntos!I12/NºAsuntos!G12)-Datos!BE12)/Datos!BE12," - ")</f>
        <v>4.083762135177444E-2</v>
      </c>
      <c r="J12" s="464">
        <f>IF(ISNUMBER((('Resol  Asuntos'!D12/NºAsuntos!G12)-Datos!BF12)/Datos!BF12),(('Resol  Asuntos'!D12/NºAsuntos!G12)-Datos!BF12)/Datos!BF12," - ")</f>
        <v>-0.64184990842593737</v>
      </c>
      <c r="K12" s="465">
        <f>IF(ISNUMBER((((NºAsuntos!C12+NºAsuntos!E12)/NºAsuntos!G12)-Datos!BG12)/Datos!BG12),(((NºAsuntos!C12+NºAsuntos!E12)/NºAsuntos!G12)-Datos!BG12)/Datos!BG12," - ")</f>
        <v>3.1589314562518137E-2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0.29970902036857422</v>
      </c>
      <c r="C13" s="858">
        <f>IF(ISNUMBER(
   IF(J_V="SI",(Datos!J13-Datos!T13)/Datos!T13,(Datos!J13+Datos!Z13-(Datos!T13+Datos!AH13))/(Datos!T13+Datos!AH13))
     ),IF(J_V="SI",(Datos!J13-Datos!T13)/Datos!T13,(Datos!J13+Datos!Z13-(Datos!T13+Datos!AH13))/(Datos!T13+Datos!AH13))," - ")</f>
        <v>-0.13395638629283488</v>
      </c>
      <c r="D13" s="858">
        <f>IF(ISNUMBER(
   IF(J_V="SI",(Datos!K13-Datos!U13)/Datos!U13,(Datos!K13+Datos!AA13-(Datos!U13+Datos!AI13))/(Datos!U13+Datos!AI13))
     ),IF(J_V="SI",(Datos!K13-Datos!U13)/Datos!U13,(Datos!K13+Datos!AA13-(Datos!U13+Datos!AI13))/(Datos!U13+Datos!AI13))," - ")</f>
        <v>0.15066354410616706</v>
      </c>
      <c r="E13" s="858">
        <f>IF(ISNUMBER(
   IF(J_V="SI",(Datos!L13-Datos!V13)/Datos!V13,(Datos!L13+Datos!AB13-(Datos!V13+Datos!AJ13))/(Datos!V13+Datos!AJ13))
     ),IF(J_V="SI",(Datos!L13-Datos!V13)/Datos!V13,(Datos!L13+Datos!AB13-(Datos!V13+Datos!AJ13))/(Datos!V13+Datos!AJ13))," - ")</f>
        <v>0.18615107913669066</v>
      </c>
      <c r="F13" s="859">
        <f>IF(ISNUMBER((Datos!M13-Datos!W13)/Datos!W13),(Datos!M13-Datos!W13)/Datos!W13," - ")</f>
        <v>8.0459770114942528E-2</v>
      </c>
      <c r="G13" s="860">
        <f>IF(ISNUMBER((Datos!N13-Datos!X13)/Datos!X13),(Datos!N13-Datos!X13)/Datos!X13," - ")</f>
        <v>0.19523099850968703</v>
      </c>
      <c r="H13" s="860">
        <f>IF(ISNUMBER(((NºAsuntos!G13/NºAsuntos!E13)-Datos!BD13)/Datos!BD13),((NºAsuntos!G13/NºAsuntos!E13)-Datos!BD13)/Datos!BD13," - ")</f>
        <v>0.32864387646791215</v>
      </c>
      <c r="I13" s="860">
        <f>IF(ISNUMBER(((NºAsuntos!I13/NºAsuntos!G13)-Datos!BE13)/Datos!BE13),((NºAsuntos!I13/NºAsuntos!G13)-Datos!BE13)/Datos!BE13," - ")</f>
        <v>3.0840931054342432E-2</v>
      </c>
      <c r="J13" s="860">
        <f>IF(ISNUMBER((('Resol  Asuntos'!D13/NºAsuntos!G13)-Datos!BF13)/Datos!BF13),(('Resol  Asuntos'!D13/NºAsuntos!G13)-Datos!BF13)/Datos!BF13," - ")</f>
        <v>-0.6374615625476705</v>
      </c>
      <c r="K13" s="860">
        <f>IF(ISNUMBER((((NºAsuntos!C13+NºAsuntos!E13)/NºAsuntos!G13)-Datos!BG13)/Datos!BG13),(((NºAsuntos!C13+NºAsuntos!E13)/NºAsuntos!G13)-Datos!BG13)/Datos!BG13," - ")</f>
        <v>2.3944922557115573E-2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-9.6092248558616276E-3</v>
      </c>
      <c r="C16" s="459">
        <f>IF(ISNUMBER(
   IF(D_I="SI",(Datos!J16-Datos!T16)/Datos!T16,(Datos!J16+Datos!AD16-(Datos!T16+Datos!AL16))/(Datos!T16+Datos!AL16))
     ),IF(D_I="SI",(Datos!J16-Datos!T16)/Datos!T16,(Datos!J16+Datos!AD16-(Datos!T16+Datos!AL16))/(Datos!T16+Datos!AL16))," - ")</f>
        <v>0.14721189591078068</v>
      </c>
      <c r="D16" s="459">
        <f>IF(ISNUMBER(
   IF(D_I="SI",(Datos!K16-Datos!U16)/Datos!U16,(Datos!K16+Datos!AE16-(Datos!U16+Datos!AM16))/(Datos!U16+Datos!AM16))
     ),IF(D_I="SI",(Datos!K16-Datos!U16)/Datos!U16,(Datos!K16+Datos!AE16-(Datos!U16+Datos!AM16))/(Datos!U16+Datos!AM16))," - ")</f>
        <v>8.2946250829462512E-2</v>
      </c>
      <c r="E16" s="459">
        <f>IF(ISNUMBER(
   IF(D_I="SI",(Datos!L16-Datos!V16)/Datos!V16,(Datos!L16+Datos!AF16-(Datos!V16+Datos!AN16))/(Datos!V16+Datos!AN16))
     ),IF(D_I="SI",(Datos!L16-Datos!V16)/Datos!V16,(Datos!L16+Datos!AF16-(Datos!V16+Datos!AN16))/(Datos!V16+Datos!AN16))," - ")</f>
        <v>3.7429378531073448E-2</v>
      </c>
      <c r="F16" s="459">
        <f>IF(ISNUMBER((Datos!M16-Datos!W16)/Datos!W16),(Datos!M16-Datos!W16)/Datos!W16," - ")</f>
        <v>-0.28061224489795916</v>
      </c>
      <c r="G16" s="460">
        <f>IF(ISNUMBER((Datos!N16-Datos!X16)/Datos!X16),(Datos!N16-Datos!X16)/Datos!X16," - ")</f>
        <v>0.10431293881644935</v>
      </c>
      <c r="H16" s="458">
        <f>IF(ISNUMBER(((NºAsuntos!G16/NºAsuntos!E16)-Datos!BD16)/Datos!BD16),((NºAsuntos!G16/NºAsuntos!E16)-Datos!BD16)/Datos!BD16," - ")</f>
        <v>-5.6018984208926023E-2</v>
      </c>
      <c r="I16" s="459">
        <f>IF(ISNUMBER(((NºAsuntos!I16/NºAsuntos!G16)-Datos!BE16)/Datos!BE16),((NºAsuntos!I16/NºAsuntos!G16)-Datos!BE16)/Datos!BE16," - ")</f>
        <v>-4.2030592251024713E-2</v>
      </c>
      <c r="J16" s="464">
        <f>IF(ISNUMBER((('Resol  Asuntos'!D16/NºAsuntos!G16)-Datos!BF16)/Datos!BF16),(('Resol  Asuntos'!D16/NºAsuntos!G16)-Datos!BF16)/Datos!BF16," - ")</f>
        <v>-0.33571240996398555</v>
      </c>
      <c r="K16" s="465">
        <f>IF(ISNUMBER((((NºAsuntos!C16+NºAsuntos!E16)/NºAsuntos!G16)-Datos!BG16)/Datos!BG16),(((NºAsuntos!C16+NºAsuntos!E16)/NºAsuntos!G16)-Datos!BG16)/Datos!BG16," - ")</f>
        <v>-1.8443290082722656E-2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0.23880597014925373</v>
      </c>
      <c r="C17" s="459">
        <f>IF(ISNUMBER(
   IF(D_I="SI",(Datos!J17-Datos!T17)/Datos!T17,(Datos!J17+Datos!AD17-(Datos!T17+Datos!AL17))/(Datos!T17+Datos!AL17))
     ),IF(D_I="SI",(Datos!J17-Datos!T17)/Datos!T17,(Datos!J17+Datos!AD17-(Datos!T17+Datos!AL17))/(Datos!T17+Datos!AL17))," - ")</f>
        <v>5.2083333333333336E-2</v>
      </c>
      <c r="D17" s="459">
        <f>IF(ISNUMBER(
   IF(D_I="SI",(Datos!K17-Datos!U17)/Datos!U17,(Datos!K17+Datos!AE17-(Datos!U17+Datos!AM17))/(Datos!U17+Datos!AM17))
     ),IF(D_I="SI",(Datos!K17-Datos!U17)/Datos!U17,(Datos!K17+Datos!AE17-(Datos!U17+Datos!AM17))/(Datos!U17+Datos!AM17))," - ")</f>
        <v>0.8970588235294118</v>
      </c>
      <c r="E17" s="459">
        <f>IF(ISNUMBER(
   IF(D_I="SI",(Datos!L17-Datos!V17)/Datos!V17,(Datos!L17+Datos!AF17-(Datos!V17+Datos!AN17))/(Datos!V17+Datos!AN17))
     ),IF(D_I="SI",(Datos!L17-Datos!V17)/Datos!V17,(Datos!L17+Datos!AF17-(Datos!V17+Datos!AN17))/(Datos!V17+Datos!AN17))," - ")</f>
        <v>-0.14814814814814814</v>
      </c>
      <c r="F17" s="459">
        <f>IF(ISNUMBER((Datos!M17-Datos!W17)/Datos!W17),(Datos!M17-Datos!W17)/Datos!W17," - ")</f>
        <v>-0.66666666666666663</v>
      </c>
      <c r="G17" s="460">
        <f>IF(ISNUMBER((Datos!N17-Datos!X17)/Datos!X17),(Datos!N17-Datos!X17)/Datos!X17," - ")</f>
        <v>2.4444444444444446</v>
      </c>
      <c r="H17" s="458">
        <f>IF(ISNUMBER(((NºAsuntos!G17/NºAsuntos!E17)-Datos!BD17)/Datos!BD17),((NºAsuntos!G17/NºAsuntos!E17)-Datos!BD17)/Datos!BD17," - ")</f>
        <v>0.80314502038439128</v>
      </c>
      <c r="I17" s="459">
        <f>IF(ISNUMBER(((NºAsuntos!I17/NºAsuntos!G17)-Datos!BE17)/Datos!BE17),((NºAsuntos!I17/NºAsuntos!G17)-Datos!BE17)/Datos!BE17," - ")</f>
        <v>-0.55096181452770598</v>
      </c>
      <c r="J17" s="464">
        <f>IF(ISNUMBER((('Resol  Asuntos'!D17/NºAsuntos!G17)-Datos!BF17)/Datos!BF17),(('Resol  Asuntos'!D17/NºAsuntos!G17)-Datos!BF17)/Datos!BF17," - ")</f>
        <v>-0.82428940568475451</v>
      </c>
      <c r="K17" s="465">
        <f>IF(ISNUMBER((((NºAsuntos!C17+NºAsuntos!E17)/NºAsuntos!G17)-Datos!BG17)/Datos!BG17),(((NºAsuntos!C17+NºAsuntos!E17)/NºAsuntos!G17)-Datos!BG17)/Datos!BG17," - ")</f>
        <v>-0.3880687563195146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1.0029498525073746E-2</v>
      </c>
      <c r="C18" s="858">
        <f>IF(ISNUMBER(
   IF(Criterios!B14="SI",(Datos!J18-Datos!T18)/Datos!T18,(Datos!J18+Datos!AD18-(Datos!T18+Datos!AL18))/(Datos!T18+Datos!AL18))
     ),IF(Criterios!B14="SI",(Datos!J18-Datos!T18)/Datos!T18,(Datos!J18+Datos!AD18-(Datos!T18+Datos!AL18))/(Datos!T18+Datos!AL18))," - ")</f>
        <v>0.14087439278278974</v>
      </c>
      <c r="D18" s="858">
        <f>IF(ISNUMBER(
   IF(Criterios!B14="SI",(Datos!K18-Datos!U18)/Datos!U18,(Datos!K18+Datos!AE18-(Datos!U18+Datos!AM18))/(Datos!U18+Datos!AM18))
     ),IF(Criterios!B14="SI",(Datos!K18-Datos!U18)/Datos!U18,(Datos!K18+Datos!AE18-(Datos!U18+Datos!AM18))/(Datos!U18+Datos!AM18))," - ")</f>
        <v>0.1180952380952381</v>
      </c>
      <c r="E18" s="858">
        <f>IF(ISNUMBER(
   IF(Criterios!B14="SI",(Datos!L18-Datos!V18)/Datos!V18,(Datos!L18+Datos!AF18-(Datos!V18+Datos!AN18))/(Datos!V18+Datos!AN18))
     ),IF(Criterios!B14="SI",(Datos!L18-Datos!V18)/Datos!V18,(Datos!L18+Datos!AF18-(Datos!V18+Datos!AN18))/(Datos!V18+Datos!AN18))," - ")</f>
        <v>1.8377693282636248E-2</v>
      </c>
      <c r="F18" s="859">
        <f>IF(ISNUMBER((Datos!M18-Datos!W18)/Datos!W18),(Datos!M18-Datos!W18)/Datos!W18," - ")</f>
        <v>-0.29207920792079206</v>
      </c>
      <c r="G18" s="860">
        <f>IF(ISNUMBER((Datos!N18-Datos!X18)/Datos!X18),(Datos!N18-Datos!X18)/Datos!X18," - ")</f>
        <v>0.166015625</v>
      </c>
      <c r="H18" s="860">
        <f>IF(ISNUMBER(((NºAsuntos!G18/NºAsuntos!E18)-Datos!BD18)/Datos!BD18),((NºAsuntos!G18/NºAsuntos!E18)-Datos!BD18)/Datos!BD18," - ")</f>
        <v>-1.9966400185378198E-2</v>
      </c>
      <c r="I18" s="860">
        <f>IF(ISNUMBER(((NºAsuntos!I18/NºAsuntos!G18)-Datos!BE18)/Datos!BE18),((NºAsuntos!I18/NºAsuntos!G18)-Datos!BE18)/Datos!BE18," - ")</f>
        <v>-8.9185197660333754E-2</v>
      </c>
      <c r="J18" s="860">
        <f>IF(ISNUMBER((('Resol  Asuntos'!D18/NºAsuntos!G18)-Datos!BF18)/Datos!BF18),(('Resol  Asuntos'!D18/NºAsuntos!G18)-Datos!BF18)/Datos!BF18," - ")</f>
        <v>-0.36685108033801683</v>
      </c>
      <c r="K18" s="860">
        <f>IF(ISNUMBER((((NºAsuntos!C18+NºAsuntos!E18)/NºAsuntos!G18)-Datos!BG18)/Datos!BG18),(((NºAsuntos!C18+NºAsuntos!E18)/NºAsuntos!G18)-Datos!BG18)/Datos!BG18," - ")</f>
        <v>-4.2878437576052579E-2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0.21532909434610759</v>
      </c>
      <c r="C19" s="805">
        <f>IF(ISNUMBER(
   IF(J_V="SI",(Datos!J19-Datos!T19)/Datos!T19,(Datos!J19+Datos!Z19-(Datos!T19+Datos!AH19))/(Datos!T19+Datos!AH19))
     ),IF(J_V="SI",(Datos!J19-Datos!T19)/Datos!T19,(Datos!J19+Datos!Z19-(Datos!T19+Datos!AH19))/(Datos!T19+Datos!AH19))," - ")</f>
        <v>-3.939592908732764E-3</v>
      </c>
      <c r="D19" s="805">
        <f>IF(ISNUMBER(
   IF(J_V="SI",(Datos!K19-Datos!U19)/Datos!U19,(Datos!K19+Datos!AA19-(Datos!U19+Datos!AI19))/(Datos!U19+Datos!AI19))
     ),IF(J_V="SI",(Datos!K19-Datos!U19)/Datos!U19,(Datos!K19+Datos!AA19-(Datos!U19+Datos!AI19))/(Datos!U19+Datos!AI19))," - ")</f>
        <v>0.132703081232493</v>
      </c>
      <c r="E19" s="805">
        <f>IF(ISNUMBER(
   IF(J_V="SI",(Datos!L19-Datos!V19)/Datos!V19,(Datos!L19+Datos!AB19-(Datos!V19+Datos!AJ19))/(Datos!V19+Datos!AJ19))
     ),IF(J_V="SI",(Datos!L19-Datos!V19)/Datos!V19,(Datos!L19+Datos!AB19-(Datos!V19+Datos!AJ19))/(Datos!V19+Datos!AJ19))," - ")</f>
        <v>0.14221705940922669</v>
      </c>
      <c r="F19" s="806">
        <f>IF(ISNUMBER((Datos!M19-Datos!W19)/Datos!W19),(Datos!M19-Datos!W19)/Datos!W19," - ")</f>
        <v>-8.2073434125269976E-2</v>
      </c>
      <c r="G19" s="807">
        <f>IF(ISNUMBER((Datos!N19-Datos!X19)/Datos!X19),(Datos!N19-Datos!X19)/Datos!X19," - ")</f>
        <v>0.17758112094395281</v>
      </c>
      <c r="H19" s="808">
        <f>IF(ISNUMBER((Tasas!B19-Datos!BD19)/Datos!BD19),(Tasas!B19-Datos!BD19)/Datos!BD19," - ")</f>
        <v>0.1371831197871369</v>
      </c>
      <c r="I19" s="809">
        <f>IF(ISNUMBER((Tasas!C19-Datos!BE19)/Datos!BE19),(Tasas!C19-Datos!BE19)/Datos!BE19," - ")</f>
        <v>8.3993575495367231E-3</v>
      </c>
      <c r="J19" s="810">
        <f>IF(ISNUMBER((Tasas!D19-Datos!BF19)/Datos!BF19),(Tasas!D19-Datos!BF19)/Datos!BF19," - ")</f>
        <v>-0.57265529005432469</v>
      </c>
      <c r="K19" s="810">
        <f>IF(ISNUMBER((Tasas!E19-Datos!BG19)/Datos!BG19),(Tasas!E19-Datos!BG19)/Datos!BG19," - ")</f>
        <v>6.4320814274916819E-3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gE4r7KFMPiT7fUz3Dpoe0bkwey10JtpPFP99JukY0CtZXxEPA4jmccYv26N9MFPGmUjdM/oJB4hM2S+ZZKTfg==" saltValue="5zwGy62FWsfn1bR6wAey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IGUALADA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0.65217391304347827</v>
      </c>
      <c r="C10" s="446">
        <f>IF(ISNUMBER(NºAsuntos!I10/NºAsuntos!G10),NºAsuntos!I10/NºAsuntos!G10," - ")</f>
        <v>5.9333333333333336</v>
      </c>
      <c r="D10" s="447">
        <f>IF(ISNUMBER('Resol  Asuntos'!D10/NºAsuntos!G10),'Resol  Asuntos'!D10/NºAsuntos!G10," - ")</f>
        <v>0.46666666666666667</v>
      </c>
      <c r="E10" s="448">
        <f>IF(ISNUMBER((NºAsuntos!C10+NºAsuntos!E10)/NºAsuntos!G10),(NºAsuntos!C10+NºAsuntos!E10)/NºAsuntos!G10," - ")</f>
        <v>6.9333333333333336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1.0673006583760059</v>
      </c>
      <c r="C12" s="446">
        <f>IF(ISNUMBER(NºAsuntos!I12/NºAsuntos!G12),NºAsuntos!I12/NºAsuntos!G12," - ")</f>
        <v>3.5551747772446882</v>
      </c>
      <c r="D12" s="447">
        <f>IF(ISNUMBER('Resol  Asuntos'!D12/NºAsuntos!G12),'Resol  Asuntos'!D12/NºAsuntos!G12," - ")</f>
        <v>0.18848526387936942</v>
      </c>
      <c r="E12" s="448">
        <f>IF(ISNUMBER((NºAsuntos!C12+NºAsuntos!E12)/NºAsuntos!G12),(NºAsuntos!C12+NºAsuntos!E12)/NºAsuntos!G12," - ")</f>
        <v>4.5551747772446882</v>
      </c>
      <c r="G12" s="466"/>
    </row>
    <row r="13" spans="1:7" ht="14.25" thickTop="1" thickBot="1">
      <c r="A13" s="851" t="str">
        <f>Datos!A13</f>
        <v>TOTAL</v>
      </c>
      <c r="B13" s="861">
        <f>IF(ISNUMBER(NºAsuntos!G13/NºAsuntos!E13),NºAsuntos!G13/NºAsuntos!E13," - ")</f>
        <v>1.0604316546762589</v>
      </c>
      <c r="C13" s="862">
        <f>IF(ISNUMBER(NºAsuntos!I13/NºAsuntos!G13),NºAsuntos!I13/NºAsuntos!G13," - ")</f>
        <v>3.5793758480325644</v>
      </c>
      <c r="D13" s="863">
        <f>IF(ISNUMBER('Resol  Asuntos'!D13/NºAsuntos!G13),'Resol  Asuntos'!D13/NºAsuntos!G13," - ")</f>
        <v>0.19131614654002713</v>
      </c>
      <c r="E13" s="864">
        <f>IF(ISNUMBER((NºAsuntos!C13+NºAsuntos!E13)/NºAsuntos!G13),(NºAsuntos!C13+NºAsuntos!E13)/NºAsuntos!G13," - ")</f>
        <v>4.5793758480325648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1.0576798444588464</v>
      </c>
      <c r="C16" s="446">
        <f>IF(ISNUMBER(NºAsuntos!I16/NºAsuntos!G16),NºAsuntos!I16/NºAsuntos!G16," - ")</f>
        <v>0.90012254901960786</v>
      </c>
      <c r="D16" s="447">
        <f>IF(ISNUMBER('Resol  Asuntos'!D16/NºAsuntos!G16),'Resol  Asuntos'!D16/NºAsuntos!G16," - ")</f>
        <v>8.639705882352941E-2</v>
      </c>
      <c r="E16" s="448">
        <f>IF(ISNUMBER((NºAsuntos!C16+NºAsuntos!E16)/NºAsuntos!G16),(NºAsuntos!C16+NºAsuntos!E16)/NºAsuntos!G16," - ")</f>
        <v>1.8927696078431373</v>
      </c>
      <c r="G16" s="466"/>
    </row>
    <row r="17" spans="1:7" ht="13.5" thickBot="1">
      <c r="A17" s="405" t="str">
        <f>Datos!A17</f>
        <v>Jdos. Violencia contra la mujer</v>
      </c>
      <c r="B17" s="445">
        <f>IF(ISNUMBER(NºAsuntos!G17/NºAsuntos!E17),NºAsuntos!G17/NºAsuntos!E17," - ")</f>
        <v>1.2772277227722773</v>
      </c>
      <c r="C17" s="446">
        <f>IF(ISNUMBER(NºAsuntos!I17/NºAsuntos!G17),NºAsuntos!I17/NºAsuntos!G17," - ")</f>
        <v>1.069767441860465</v>
      </c>
      <c r="D17" s="447">
        <f>IF(ISNUMBER('Resol  Asuntos'!D17/NºAsuntos!G17),'Resol  Asuntos'!D17/NºAsuntos!G17," - ")</f>
        <v>1.5503875968992248E-2</v>
      </c>
      <c r="E17" s="448">
        <f>IF(ISNUMBER((NºAsuntos!C17+NºAsuntos!E17)/NºAsuntos!G17),(NºAsuntos!C17+NºAsuntos!E17)/NºAsuntos!G17," - ")</f>
        <v>2.0697674418604652</v>
      </c>
      <c r="G17" s="466"/>
    </row>
    <row r="18" spans="1:7" ht="14.25" thickTop="1" thickBot="1">
      <c r="A18" s="851" t="str">
        <f>Datos!A18</f>
        <v>TOTAL</v>
      </c>
      <c r="B18" s="861">
        <f>IF(ISNUMBER(NºAsuntos!G18/NºAsuntos!E18),NºAsuntos!G18/NºAsuntos!E18," - ")</f>
        <v>1.0711678832116789</v>
      </c>
      <c r="C18" s="862">
        <f>IF(ISNUMBER(NºAsuntos!I18/NºAsuntos!G18),NºAsuntos!I18/NºAsuntos!G18," - ")</f>
        <v>0.91254968767745603</v>
      </c>
      <c r="D18" s="865">
        <f>IF(ISNUMBER('Resol  Asuntos'!D18/NºAsuntos!G18),'Resol  Asuntos'!D18/NºAsuntos!G18," - ")</f>
        <v>8.1203861442362288E-2</v>
      </c>
      <c r="E18" s="864">
        <f>IF(ISNUMBER((NºAsuntos!C18+NºAsuntos!E18)/NºAsuntos!G18),(NºAsuntos!C18+NºAsuntos!E18)/NºAsuntos!G18," - ")</f>
        <v>1.9057353776263486</v>
      </c>
      <c r="G18" s="466"/>
    </row>
    <row r="19" spans="1:7" ht="15.75" customHeight="1" thickTop="1" thickBot="1">
      <c r="A19" s="796" t="str">
        <f>Datos!A19</f>
        <v>TOTAL JURISDICCIONES</v>
      </c>
      <c r="B19" s="811">
        <f>IF(ISNUMBER(NºAsuntos!G19/NºAsuntos!E19),NºAsuntos!G19/NºAsuntos!E19," - ")</f>
        <v>1.0662491760052735</v>
      </c>
      <c r="C19" s="812">
        <f>IF(ISNUMBER(NºAsuntos!I19/NºAsuntos!G19),NºAsuntos!I19/NºAsuntos!G19," - ")</f>
        <v>2.1276661514683153</v>
      </c>
      <c r="D19" s="813">
        <f>IF(ISNUMBER('Resol  Asuntos'!D19/NºAsuntos!G19),'Resol  Asuntos'!D19/NºAsuntos!G19," - ")</f>
        <v>0.13137557959814528</v>
      </c>
      <c r="E19" s="814">
        <f>IF(ISNUMBER((NºAsuntos!C19+NºAsuntos!E19)/NºAsuntos!G19),(NºAsuntos!C19+NºAsuntos!E19)/NºAsuntos!G19," - ")</f>
        <v>3.1239567233384853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0Z0IQFVrtr0hDNpKzsktIZNh/lKNw1KR5+NnrLb8vlxZ4ORNZ+oBYtmx0/zH4zfLaPyvd4RkxYE/wM+EDx9U/A==" saltValue="+6eP35U7usc/IqD1K05X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IGUALADA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81</v>
      </c>
      <c r="G10" s="336">
        <f>IF(ISNUMBER(Datos!I10),Datos!I10," - ")</f>
        <v>81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1</v>
      </c>
      <c r="Y10" s="337">
        <f t="shared" ref="Y10:Y12" si="0">SUM(W10:X10)</f>
        <v>16</v>
      </c>
      <c r="Z10" s="338" t="str">
        <f>IF(ISNUMBER(Datos!CC10),Datos!CC10," - ")</f>
        <v xml:space="preserve"> - </v>
      </c>
      <c r="AA10" s="335">
        <f>IF(ISNUMBER(Datos!L10),Datos!L10,"-")</f>
        <v>89</v>
      </c>
      <c r="AB10" s="337">
        <f>IF(ISNUMBER(Datos!R10),Datos!R10," - ")</f>
        <v>87</v>
      </c>
      <c r="AC10" s="337">
        <f t="shared" ref="AC10:AC12" si="1">IF(ISNUMBER(AA10+AB10),AA10+AB10," - ")</f>
        <v>176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0.65217391304347827</v>
      </c>
      <c r="AM10" s="263">
        <f>IF(ISNUMBER(((NºAsuntos!I10/NºAsuntos!G10)*11)/factor_trimestre),((NºAsuntos!I10/NºAsuntos!G10)*11)/factor_trimestre," - ")</f>
        <v>17.8</v>
      </c>
      <c r="AN10" s="247">
        <f>IF(ISNUMBER('Resol  Asuntos'!D10/NºAsuntos!G10),'Resol  Asuntos'!D10/NºAsuntos!G10," - ")</f>
        <v>0.46666666666666667</v>
      </c>
      <c r="AO10" s="248">
        <f>IF(ISNUMBER((NºAsuntos!C10+NºAsuntos!E10)/NºAsuntos!G10),(NºAsuntos!C10+NºAsuntos!E10)/NºAsuntos!G10," - ")</f>
        <v>6.9333333333333336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361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249</v>
      </c>
      <c r="Y12" s="337">
        <f t="shared" si="0"/>
        <v>249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9356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275</v>
      </c>
      <c r="AJ12" s="232" t="str">
        <f>IF(ISNUMBER(Datos!BW12),Datos!BW12," - ")</f>
        <v xml:space="preserve"> - </v>
      </c>
      <c r="AK12" s="231" t="str">
        <f>IF(ISNUMBER(Datos!BX12),Datos!BX12," - ")</f>
        <v xml:space="preserve"> - </v>
      </c>
      <c r="AL12" s="246">
        <f>IF(ISNUMBER(NºAsuntos!G12/NºAsuntos!E12),NºAsuntos!G12/NºAsuntos!E12," - ")</f>
        <v>1.0673006583760059</v>
      </c>
      <c r="AM12" s="263">
        <f>IF(ISNUMBER(((NºAsuntos!I12/NºAsuntos!G12)*11)/factor_trimestre),((NºAsuntos!I12/NºAsuntos!G12)*11)/factor_trimestre," - ")</f>
        <v>10.665524331734064</v>
      </c>
      <c r="AN12" s="247">
        <f>IF(ISNUMBER('Resol  Asuntos'!D12/NºAsuntos!G12),'Resol  Asuntos'!D12/NºAsuntos!G12," - ")</f>
        <v>0.18848526387936942</v>
      </c>
      <c r="AO12" s="248">
        <f>IF(ISNUMBER((NºAsuntos!C12+NºAsuntos!E12)/NºAsuntos!G12),(NºAsuntos!C12+NºAsuntos!E12)/NºAsuntos!G12," - ")</f>
        <v>4.5551747772446882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81</v>
      </c>
      <c r="G13" s="869">
        <f t="shared" si="3"/>
        <v>81</v>
      </c>
      <c r="H13" s="868">
        <f t="shared" si="3"/>
        <v>0</v>
      </c>
      <c r="I13" s="870">
        <f t="shared" si="3"/>
        <v>0</v>
      </c>
      <c r="J13" s="870">
        <f t="shared" si="3"/>
        <v>0</v>
      </c>
      <c r="K13" s="870">
        <f t="shared" si="3"/>
        <v>0</v>
      </c>
      <c r="L13" s="870">
        <f t="shared" si="3"/>
        <v>362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250</v>
      </c>
      <c r="Y13" s="871">
        <f t="shared" si="4"/>
        <v>265</v>
      </c>
      <c r="Z13" s="871">
        <f t="shared" si="4"/>
        <v>0</v>
      </c>
      <c r="AA13" s="871">
        <f t="shared" si="4"/>
        <v>89</v>
      </c>
      <c r="AB13" s="871">
        <f t="shared" si="4"/>
        <v>9443</v>
      </c>
      <c r="AC13" s="871">
        <f t="shared" si="4"/>
        <v>176</v>
      </c>
      <c r="AD13" s="871">
        <f t="shared" si="4"/>
        <v>0</v>
      </c>
      <c r="AE13" s="875">
        <f t="shared" si="4"/>
        <v>0</v>
      </c>
      <c r="AF13" s="868">
        <f t="shared" si="4"/>
        <v>0</v>
      </c>
      <c r="AG13" s="876">
        <f t="shared" si="4"/>
        <v>0</v>
      </c>
      <c r="AH13" s="873">
        <f t="shared" si="4"/>
        <v>0</v>
      </c>
      <c r="AI13" s="868">
        <f t="shared" si="4"/>
        <v>282</v>
      </c>
      <c r="AJ13" s="870">
        <f t="shared" si="4"/>
        <v>0</v>
      </c>
      <c r="AK13" s="873">
        <f>SUBTOTAL(9,AK9:AK12)</f>
        <v>0</v>
      </c>
      <c r="AL13" s="877">
        <f>IF(ISNUMBER(NºAsuntos!G13/NºAsuntos!E13),NºAsuntos!G13/NºAsuntos!E13," - ")</f>
        <v>1.0604316546762589</v>
      </c>
      <c r="AM13" s="877">
        <f>IF(ISNUMBER(((NºAsuntos!I13/NºAsuntos!G13)*11)/factor_trimestre),((NºAsuntos!I13/NºAsuntos!G13)*11)/factor_trimestre," - ")</f>
        <v>10.738127544097694</v>
      </c>
      <c r="AN13" s="878">
        <f>IF(ISNUMBER('Resol  Asuntos'!D13/NºAsuntos!G13),'Resol  Asuntos'!D13/NºAsuntos!G13," - ")</f>
        <v>0.19131614654002713</v>
      </c>
      <c r="AO13" s="879">
        <f>IF(ISNUMBER((NºAsuntos!C13+NºAsuntos!E13)/NºAsuntos!G13),(NºAsuntos!C13+NºAsuntos!E13)/NºAsuntos!G13," - ")</f>
        <v>4.5793758480325648</v>
      </c>
      <c r="AP13" s="880" t="str">
        <f t="shared" si="2"/>
        <v xml:space="preserve"> - </v>
      </c>
      <c r="AQ13" s="880">
        <f>IF(ISNUMBER((H13-W13+K13)/(F13)),(H13-W13+K13)/(F13)," - ")</f>
        <v>-0.18518518518518517</v>
      </c>
      <c r="AR13" s="881">
        <f>IF(ISNUMBER((Datos!P13-Datos!Q13)/(Datos!R13-Datos!P13+Datos!Q13)),(Datos!P13-Datos!Q13)/(Datos!R13-Datos!P13+Datos!Q13)," - ")</f>
        <v>1.2003000750187547E-2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1558</v>
      </c>
      <c r="G16" s="336">
        <f>IF(ISNUMBER(IF(D_I="SI",Datos!I16,Datos!I16+Datos!AC16)),IF(D_I="SI",Datos!I16,Datos!I16+Datos!AC16)," - ")</f>
        <v>1546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1632</v>
      </c>
      <c r="X16" s="229">
        <f>IF(ISNUMBER(Datos!Q16),Datos!Q16," - ")</f>
        <v>12</v>
      </c>
      <c r="Y16" s="337">
        <f t="shared" ref="Y16:Y17" si="7">SUM(W16:X16)</f>
        <v>1644</v>
      </c>
      <c r="Z16" s="338" t="str">
        <f>IF(ISNUMBER(Datos!CC16),Datos!CC16," - ")</f>
        <v xml:space="preserve"> - </v>
      </c>
      <c r="AA16" s="335">
        <f>IF(ISNUMBER(IF(D_I="SI",Datos!L16,Datos!L16+Datos!AF16)),IF(D_I="SI",Datos!L16,Datos!L16+Datos!AF16)," - ")</f>
        <v>1469</v>
      </c>
      <c r="AB16" s="337">
        <f>IF(ISNUMBER(Datos!R16),Datos!R16," - ")</f>
        <v>221</v>
      </c>
      <c r="AC16" s="337">
        <f t="shared" si="6"/>
        <v>1690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141</v>
      </c>
      <c r="AJ16" s="234" t="str">
        <f>IF(ISNUMBER(Datos!BW16),Datos!BW16," - ")</f>
        <v xml:space="preserve"> - </v>
      </c>
      <c r="AK16" s="235" t="str">
        <f>IF(ISNUMBER(Datos!BX16),Datos!BX16," - ")</f>
        <v xml:space="preserve"> - </v>
      </c>
      <c r="AL16" s="246">
        <f>IF(ISNUMBER(NºAsuntos!G16/NºAsuntos!E16),NºAsuntos!G16/NºAsuntos!E16," - ")</f>
        <v>1.0576798444588464</v>
      </c>
      <c r="AM16" s="263">
        <f>IF(ISNUMBER(((NºAsuntos!I16/NºAsuntos!G16)*11)/factor_trimestre),((NºAsuntos!I16/NºAsuntos!G16)*11)/factor_trimestre," - ")</f>
        <v>2.7003676470588238</v>
      </c>
      <c r="AN16" s="247">
        <f>IF(ISNUMBER('Resol  Asuntos'!D16/NºAsuntos!G16),'Resol  Asuntos'!D16/NºAsuntos!G16," - ")</f>
        <v>8.639705882352941E-2</v>
      </c>
      <c r="AO16" s="248">
        <f>IF(ISNUMBER((NºAsuntos!C16+NºAsuntos!E16)/NºAsuntos!G16),(NºAsuntos!C16+NºAsuntos!E16)/NºAsuntos!G16," - ")</f>
        <v>1.8927696078431373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129</v>
      </c>
      <c r="X17" s="229">
        <f>IF(ISNUMBER(Datos!Q17),Datos!Q17," - ")</f>
        <v>0</v>
      </c>
      <c r="Y17" s="337">
        <f t="shared" si="7"/>
        <v>129</v>
      </c>
      <c r="Z17" s="338" t="str">
        <f>IF(ISNUMBER(Datos!CC17),Datos!CC17," - ")</f>
        <v xml:space="preserve"> - </v>
      </c>
      <c r="AA17" s="335">
        <f>IF(ISNUMBER(Datos!L17),Datos!L17,"-")</f>
        <v>138</v>
      </c>
      <c r="AB17" s="337">
        <f>IF(ISNUMBER(Datos!R17),Datos!R17," - ")</f>
        <v>8</v>
      </c>
      <c r="AC17" s="337">
        <f t="shared" si="6"/>
        <v>146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1.2772277227722773</v>
      </c>
      <c r="AM17" s="263">
        <f>IF(ISNUMBER(((NºAsuntos!I17/NºAsuntos!G17)*11)/factor_trimestre),((NºAsuntos!I17/NºAsuntos!G17)*11)/factor_trimestre," - ")</f>
        <v>3.2093023255813953</v>
      </c>
      <c r="AN17" s="247">
        <f>IF(ISNUMBER('Resol  Asuntos'!D17/NºAsuntos!G17),'Resol  Asuntos'!D17/NºAsuntos!G17," - ")</f>
        <v>1.5503875968992248E-2</v>
      </c>
      <c r="AO17" s="248">
        <f>IF(ISNUMBER((NºAsuntos!C17+NºAsuntos!E17)/NºAsuntos!G17),(NºAsuntos!C17+NºAsuntos!E17)/NºAsuntos!G17," - ")</f>
        <v>2.0697674418604652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1558</v>
      </c>
      <c r="G18" s="869">
        <f>SUBTOTAL(9,G15:G17)</f>
        <v>1712</v>
      </c>
      <c r="H18" s="868">
        <f t="shared" ref="H18:O18" si="10">SUBTOTAL(9,H14:H17)</f>
        <v>0</v>
      </c>
      <c r="I18" s="870">
        <f t="shared" si="10"/>
        <v>0</v>
      </c>
      <c r="J18" s="870">
        <f t="shared" si="10"/>
        <v>0</v>
      </c>
      <c r="K18" s="870">
        <f t="shared" si="10"/>
        <v>0</v>
      </c>
      <c r="L18" s="870">
        <f t="shared" si="10"/>
        <v>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1761</v>
      </c>
      <c r="X18" s="870">
        <f t="shared" si="11"/>
        <v>12</v>
      </c>
      <c r="Y18" s="871">
        <f t="shared" si="11"/>
        <v>1773</v>
      </c>
      <c r="Z18" s="871">
        <f t="shared" si="11"/>
        <v>0</v>
      </c>
      <c r="AA18" s="871">
        <f t="shared" si="11"/>
        <v>1607</v>
      </c>
      <c r="AB18" s="871">
        <f t="shared" si="11"/>
        <v>229</v>
      </c>
      <c r="AC18" s="871">
        <f t="shared" si="11"/>
        <v>1836</v>
      </c>
      <c r="AD18" s="871">
        <f t="shared" si="11"/>
        <v>0</v>
      </c>
      <c r="AE18" s="875">
        <f t="shared" si="11"/>
        <v>0</v>
      </c>
      <c r="AF18" s="868">
        <f t="shared" si="11"/>
        <v>0</v>
      </c>
      <c r="AG18" s="876">
        <f t="shared" si="11"/>
        <v>0</v>
      </c>
      <c r="AH18" s="873">
        <f t="shared" si="11"/>
        <v>0</v>
      </c>
      <c r="AI18" s="868">
        <f t="shared" si="11"/>
        <v>143</v>
      </c>
      <c r="AJ18" s="870">
        <f t="shared" si="11"/>
        <v>0</v>
      </c>
      <c r="AK18" s="873">
        <f t="shared" si="11"/>
        <v>0</v>
      </c>
      <c r="AL18" s="877">
        <f>IF(ISNUMBER(NºAsuntos!G18/NºAsuntos!E18),NºAsuntos!G18/NºAsuntos!E18," - ")</f>
        <v>1.0711678832116789</v>
      </c>
      <c r="AM18" s="877">
        <f>IF(ISNUMBER(((NºAsuntos!I18/NºAsuntos!G18)*11)/factor_trimestre),((NºAsuntos!I18/NºAsuntos!G18)*11)/factor_trimestre," - ")</f>
        <v>2.7376490630323684</v>
      </c>
      <c r="AN18" s="878">
        <f>IF(ISNUMBER('Resol  Asuntos'!D18/NºAsuntos!G18),'Resol  Asuntos'!D18/NºAsuntos!G18," - ")</f>
        <v>8.1203861442362288E-2</v>
      </c>
      <c r="AO18" s="879">
        <f>IF(ISNUMBER((NºAsuntos!C18+NºAsuntos!E18)/NºAsuntos!G18),(NºAsuntos!C18+NºAsuntos!E18)/NºAsuntos!G18," - ")</f>
        <v>1.9057353776263486</v>
      </c>
      <c r="AP18" s="880" t="str">
        <f t="shared" si="2"/>
        <v xml:space="preserve"> - </v>
      </c>
      <c r="AQ18" s="880">
        <f>IF(ISNUMBER((H18-W18+K18)/(F18)),(H18-W18+K18)/(F18)," - ")</f>
        <v>-1.1302952503209243</v>
      </c>
      <c r="AR18" s="881">
        <f>IF(ISNUMBER((Datos!P18-Datos!Q18)/(Datos!R18-Datos!P18+Datos!Q18)),(Datos!P18-Datos!Q18)/(Datos!R18-Datos!P18+Datos!Q18)," - ")</f>
        <v>0.16243654822335024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1639</v>
      </c>
      <c r="G19" s="824">
        <f t="shared" si="13"/>
        <v>1793</v>
      </c>
      <c r="H19" s="823">
        <f t="shared" si="13"/>
        <v>0</v>
      </c>
      <c r="I19" s="825">
        <f t="shared" si="13"/>
        <v>0</v>
      </c>
      <c r="J19" s="825">
        <f t="shared" si="13"/>
        <v>0</v>
      </c>
      <c r="K19" s="884">
        <f t="shared" si="13"/>
        <v>0</v>
      </c>
      <c r="L19" s="825">
        <f t="shared" si="13"/>
        <v>406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1776</v>
      </c>
      <c r="X19" s="824">
        <f t="shared" si="14"/>
        <v>262</v>
      </c>
      <c r="Y19" s="831">
        <f t="shared" si="14"/>
        <v>2038</v>
      </c>
      <c r="Z19" s="831">
        <f t="shared" si="14"/>
        <v>0</v>
      </c>
      <c r="AA19" s="831">
        <f t="shared" si="14"/>
        <v>1696</v>
      </c>
      <c r="AB19" s="831">
        <f t="shared" si="14"/>
        <v>9672</v>
      </c>
      <c r="AC19" s="831">
        <f t="shared" si="14"/>
        <v>2012</v>
      </c>
      <c r="AD19" s="831">
        <f t="shared" si="14"/>
        <v>0</v>
      </c>
      <c r="AE19" s="833">
        <f t="shared" si="14"/>
        <v>0</v>
      </c>
      <c r="AF19" s="834">
        <f t="shared" si="14"/>
        <v>0</v>
      </c>
      <c r="AG19" s="835">
        <f t="shared" si="14"/>
        <v>0</v>
      </c>
      <c r="AH19" s="833">
        <f t="shared" si="14"/>
        <v>0</v>
      </c>
      <c r="AI19" s="823">
        <f t="shared" si="14"/>
        <v>425</v>
      </c>
      <c r="AJ19" s="823">
        <f t="shared" si="14"/>
        <v>0</v>
      </c>
      <c r="AK19" s="833">
        <f t="shared" si="14"/>
        <v>0</v>
      </c>
      <c r="AL19" s="887">
        <f>IF(ISNUMBER(NºAsuntos!G19/NºAsuntos!E19),NºAsuntos!G19/NºAsuntos!E19," - ")</f>
        <v>1.0662491760052735</v>
      </c>
      <c r="AM19" s="888">
        <f>IF(ISNUMBER(((NºAsuntos!I19/NºAsuntos!G19)*11)/factor_trimestre),((NºAsuntos!I19/NºAsuntos!G19)*11)/factor_trimestre," - ")</f>
        <v>6.3829984544049454</v>
      </c>
      <c r="AN19" s="888">
        <f>IF(ISNUMBER('Resol  Asuntos'!D19/NºAsuntos!G19),'Resol  Asuntos'!D19/NºAsuntos!G19," - ")</f>
        <v>0.13137557959814528</v>
      </c>
      <c r="AO19" s="889">
        <f>IF(ISNUMBER((NºAsuntos!C19+NºAsuntos!E19)/NºAsuntos!G19),(NºAsuntos!C19+NºAsuntos!E19)/NºAsuntos!G19," - ")</f>
        <v>3.1239567233384853</v>
      </c>
      <c r="AP19" s="890" t="str">
        <f t="shared" si="2"/>
        <v xml:space="preserve"> - </v>
      </c>
      <c r="AQ19" s="891">
        <f>IF(OR(ISNUMBER(FIND("01",Criterios!A8,1)),ISNUMBER(FIND("02",Criterios!A8,1)),ISNUMBER(FIND("03",Criterios!A8,1)),ISNUMBER(FIND("04",Criterios!A8,1))),(I19-W19+K19)/(F19-K19),(H19-W19+K19)/(F19-K19))</f>
        <v>-1.0835875533862112</v>
      </c>
      <c r="AR19" s="892">
        <f>IF(ISNUMBER((Datos!P19-Datos!Q19)/(Datos!R19-Datos!P19+Datos!Q19)),(Datos!P19-Datos!Q19)/(Datos!R19-Datos!P19+Datos!Q19)," - ")</f>
        <v>1.5113350125944584E-2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717.2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852.7463475930773</v>
      </c>
      <c r="G21" s="256">
        <f>IF(ISNUMBER(STDEV(G8:G18)),STDEV(G8:G18),"-")</f>
        <v>835.14352059990256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902.53742304682305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122.56862023644823</v>
      </c>
      <c r="AJ21" s="255">
        <f t="shared" si="18"/>
        <v>0</v>
      </c>
      <c r="AK21" s="257">
        <f t="shared" si="18"/>
        <v>0</v>
      </c>
      <c r="AL21" s="252">
        <f t="shared" si="18"/>
        <v>0.20427752132920582</v>
      </c>
      <c r="AM21" s="253">
        <f t="shared" si="18"/>
        <v>6.1541512082024958</v>
      </c>
      <c r="AN21" s="253">
        <f t="shared" si="18"/>
        <v>0.15970922278600896</v>
      </c>
      <c r="AO21" s="254">
        <f t="shared" si="18"/>
        <v>2.0538059013998802</v>
      </c>
      <c r="AP21" s="294" t="str">
        <f t="shared" si="18"/>
        <v>-</v>
      </c>
      <c r="AQ21" s="295">
        <f t="shared" si="18"/>
        <v>0.66829373602514086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dC2hSSHyviHSTsSVveVfXdBIN6OlRLZZJLtY9MfFeBU2qWEmyaLnN6hmaRUXKqJXOJTNwG4m8XYPV/+zOenlw==" saltValue="nXqRX1/TrUJRHNnw7y7M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IGUALADA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-0.11956521739130435</v>
      </c>
      <c r="E10" s="351">
        <f>IF(ISNUMBER((Datos!J10-Datos!T10)/Datos!T10),(Datos!J10-Datos!T10)/Datos!T10," - ")</f>
        <v>2.2857142857142856</v>
      </c>
      <c r="F10" s="351">
        <f>IF(ISNUMBER((Datos!K10-Datos!U10)/Datos!U10),(Datos!K10-Datos!U10)/Datos!U10," - ")</f>
        <v>1.5</v>
      </c>
      <c r="G10" s="352">
        <f>IF(ISNUMBER((Datos!L10-Datos!V10)/Datos!V10),(Datos!L10-Datos!V10)/Datos!V10," - ")</f>
        <v>-4.3010752688172046E-2</v>
      </c>
      <c r="H10" s="233">
        <f>IF(ISNUMBER((Datos!M10-Datos!W10)/Datos!W10),(Datos!M10-Datos!W10)/Datos!W10," - ")</f>
        <v>0.4</v>
      </c>
      <c r="I10" s="353">
        <f>IF(ISNUMBER((Tasas!C10-Datos!BE10)/Datos!BE10),(Tasas!C10-Datos!BE10)/Datos!BE10," - ")</f>
        <v>-0.6172043010752688</v>
      </c>
      <c r="J10" s="352">
        <f>IF(ISNUMBER((Tasas!D10-Datos!BF10)/Datos!BF10),(Tasas!D10-Datos!BF10)/Datos!BF10," - ")</f>
        <v>-0.44</v>
      </c>
      <c r="K10" s="354">
        <f>IF(ISNUMBER((Tasas!E10-Datos!BG10)/Datos!BG10),(Tasas!E10-Datos!BG10)/Datos!BG10," - ")</f>
        <v>-0.57979797979797976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7.421875E-2</v>
      </c>
      <c r="I12" s="353">
        <f>IF(ISNUMBER((Tasas!C12-Datos!BE12)/Datos!BE12),(Tasas!C12-Datos!BE12)/Datos!BE12," - ")</f>
        <v>4.083762135177444E-2</v>
      </c>
      <c r="J12" s="352">
        <f>IF(ISNUMBER((Tasas!D12-Datos!BF12)/Datos!BF12),(Tasas!D12-Datos!BF12)/Datos!BF12," - ")</f>
        <v>-0.64184990842593737</v>
      </c>
      <c r="K12" s="354">
        <f>IF(ISNUMBER((Tasas!E12-Datos!BG12)/Datos!BG12),(Tasas!E12-Datos!BG12)/Datos!BG12," - ")</f>
        <v>3.1589314562518137E-2</v>
      </c>
      <c r="M12" t="e">
        <f>IF(Monitorios="SI",Datos!CE12,0)</f>
        <v>#REF!</v>
      </c>
      <c r="N12" t="e">
        <f>IF(Monitorios="SI",Datos!CF12,0)</f>
        <v>#REF!</v>
      </c>
      <c r="O12" t="e">
        <f>IF(Monitorios="SI",Datos!CG12,0)</f>
        <v>#REF!</v>
      </c>
      <c r="P12" t="e">
        <f>IF(Monitorios="SI",Datos!CH12,0)</f>
        <v>#REF!</v>
      </c>
      <c r="Q12">
        <f>IF(J_V="SI",0,Datos!AG12)</f>
        <v>46</v>
      </c>
      <c r="R12">
        <f>IF(J_V="SI",0,Datos!AH12)</f>
        <v>78</v>
      </c>
      <c r="S12">
        <f>IF(J_V="SI",0,Datos!AI12)</f>
        <v>44</v>
      </c>
      <c r="T12">
        <f>IF(J_V="SI",0,Datos!AJ12)</f>
        <v>80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8.0459770114942528E-2</v>
      </c>
      <c r="I13" s="360">
        <f>IF(ISNUMBER((Tasas!C13-Datos!BE13)/Datos!BE13),(Tasas!C13-Datos!BE13)/Datos!BE13," - ")</f>
        <v>3.0840931054342432E-2</v>
      </c>
      <c r="J13" s="358">
        <f>IF(ISNUMBER((Tasas!D13-Datos!BF13)/Datos!BF13),(Tasas!D13-Datos!BF13)/Datos!BF13," - ")</f>
        <v>-0.6374615625476705</v>
      </c>
      <c r="K13" s="361">
        <f>IF(ISNUMBER((Tasas!E13-Datos!BG13)/Datos!BG13),(Tasas!E13-Datos!BG13)/Datos!BG13," - ")</f>
        <v>2.3944922557115573E-2</v>
      </c>
      <c r="M13" t="e">
        <f>IF(Monitorios="SI",Datos!CE13,0)</f>
        <v>#REF!</v>
      </c>
      <c r="N13" t="e">
        <f>IF(Monitorios="SI",Datos!CF13,0)</f>
        <v>#REF!</v>
      </c>
      <c r="O13" t="e">
        <f>IF(Monitorios="SI",Datos!CG13,0)</f>
        <v>#REF!</v>
      </c>
      <c r="P13" t="e">
        <f>IF(Monitorios="SI",Datos!CH13,0)</f>
        <v>#REF!</v>
      </c>
      <c r="Q13">
        <f>IF(J_V="SI",0,Datos!AG13)</f>
        <v>46</v>
      </c>
      <c r="R13">
        <f>IF(J_V="SI",0,Datos!AH13)</f>
        <v>78</v>
      </c>
      <c r="S13">
        <f>IF(J_V="SI",0,Datos!AI13)</f>
        <v>44</v>
      </c>
      <c r="T13">
        <f>IF(J_V="SI",0,Datos!AJ13)</f>
        <v>80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-9.6092248558616276E-3</v>
      </c>
      <c r="E16" s="351">
        <f>IF(ISNUMBER(
   IF(D_I="SI",(Datos!J16-Datos!T16)/Datos!T16,(Datos!J16+Datos!AD16-(Datos!T16+Datos!AL16))/(Datos!T16+Datos!AL16))
     ),IF(D_I="SI",(Datos!J16-Datos!T16)/Datos!T16,(Datos!J16+Datos!AD16-(Datos!T16+Datos!AL16))/(Datos!T16+Datos!AL16))," - ")</f>
        <v>0.14721189591078068</v>
      </c>
      <c r="F16" s="351">
        <f>IF(ISNUMBER(
   IF(D_I="SI",(Datos!K16-Datos!U16)/Datos!U16,(Datos!K16+Datos!AE16-(Datos!U16+Datos!AM16))/(Datos!U16+Datos!AM16))
     ),IF(D_I="SI",(Datos!K16-Datos!U16)/Datos!U16,(Datos!K16+Datos!AE16-(Datos!U16+Datos!AM16))/(Datos!U16+Datos!AM16))," - ")</f>
        <v>8.2946250829462512E-2</v>
      </c>
      <c r="G16" s="352">
        <f>IF(ISNUMBER(
   IF(D_I="SI",(Datos!L16-Datos!V16)/Datos!V16,(Datos!L16+Datos!AF16-(Datos!V16+Datos!AN16))/(Datos!V16+Datos!AN16))
     ),IF(D_I="SI",(Datos!L16-Datos!V16)/Datos!V16,(Datos!L16+Datos!AF16-(Datos!V16+Datos!AN16))/(Datos!V16+Datos!AN16))," - ")</f>
        <v>3.7429378531073448E-2</v>
      </c>
      <c r="H16" s="233">
        <f>IF(ISNUMBER((Datos!M16-Datos!W16)/Datos!W16),(Datos!M16-Datos!W16)/Datos!W16," - ")</f>
        <v>-0.28061224489795916</v>
      </c>
      <c r="I16" s="353">
        <f>IF(ISNUMBER((Tasas!C16-Datos!BE16)/Datos!BE16),(Tasas!C16-Datos!BE16)/Datos!BE16," - ")</f>
        <v>-4.2030592251024713E-2</v>
      </c>
      <c r="J16" s="352">
        <f>IF(ISNUMBER((Tasas!D16-Datos!BF16)/Datos!BF16),(Tasas!D16-Datos!BF16)/Datos!BF16," - ")</f>
        <v>-0.33571240996398555</v>
      </c>
      <c r="K16" s="354">
        <f>IF(ISNUMBER((Tasas!E16-Datos!BG16)/Datos!BG16),(Tasas!E16-Datos!BG16)/Datos!BG16," - ")</f>
        <v>-1.8443290082722656E-2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0.23880597014925373</v>
      </c>
      <c r="E17" s="351">
        <f>IF(ISNUMBER(
   IF(D_I="SI",(Datos!J17-Datos!T17)/Datos!T17,(Datos!J17+Datos!AD17-(Datos!T17+Datos!AL17))/(Datos!T17+Datos!AL17))
     ),IF(D_I="SI",(Datos!J17-Datos!T17)/Datos!T17,(Datos!J17+Datos!AD17-(Datos!T17+Datos!AL17))/(Datos!T17+Datos!AL17))," - ")</f>
        <v>5.2083333333333336E-2</v>
      </c>
      <c r="F17" s="351">
        <f>IF(ISNUMBER(
   IF(D_I="SI",(Datos!K17-Datos!U17)/Datos!U17,(Datos!K17+Datos!AE17-(Datos!U17+Datos!AM17))/(Datos!U17+Datos!AM17))
     ),IF(D_I="SI",(Datos!K17-Datos!U17)/Datos!U17,(Datos!K17+Datos!AE17-(Datos!U17+Datos!AM17))/(Datos!U17+Datos!AM17))," - ")</f>
        <v>0.8970588235294118</v>
      </c>
      <c r="G17" s="352">
        <f>IF(ISNUMBER(
   IF(D_I="SI",(Datos!L17-Datos!V17)/Datos!V17,(Datos!L17+Datos!AF17-(Datos!V17+Datos!AN17))/(Datos!V17+Datos!AN17))
     ),IF(D_I="SI",(Datos!L17-Datos!V17)/Datos!V17,(Datos!L17+Datos!AF17-(Datos!V17+Datos!AN17))/(Datos!V17+Datos!AN17))," - ")</f>
        <v>-0.14814814814814814</v>
      </c>
      <c r="H17" s="233">
        <f>IF(ISNUMBER((Datos!M17-Datos!W17)/Datos!W17),(Datos!M17-Datos!W17)/Datos!W17," - ")</f>
        <v>-0.66666666666666663</v>
      </c>
      <c r="I17" s="353">
        <f>IF(ISNUMBER((Tasas!C17-Datos!BE17)/Datos!BE17),(Tasas!C17-Datos!BE17)/Datos!BE17," - ")</f>
        <v>-0.55096181452770598</v>
      </c>
      <c r="J17" s="352">
        <f>IF(ISNUMBER((Tasas!D17-Datos!BF17)/Datos!BF17),(Tasas!D17-Datos!BF17)/Datos!BF17," - ")</f>
        <v>-0.82428940568475451</v>
      </c>
      <c r="K17" s="354">
        <f>IF(ISNUMBER((Tasas!E17-Datos!BG17)/Datos!BG17),(Tasas!E17-Datos!BG17)/Datos!BG17," - ")</f>
        <v>-0.3880687563195146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1.0029498525073746E-2</v>
      </c>
      <c r="E18" s="357">
        <f>IF(ISNUMBER(
   IF(D_I="SI",(Datos!J18-Datos!T18)/Datos!T18,(Datos!J18+Datos!AD18-(Datos!T18+Datos!AL18))/(Datos!T18+Datos!AL18))
     ),IF(D_I="SI",(Datos!J18-Datos!T18)/Datos!T18,(Datos!J18+Datos!AD18-(Datos!T18+Datos!AL18))/(Datos!T18+Datos!AL18))," - ")</f>
        <v>0.14087439278278974</v>
      </c>
      <c r="F18" s="357">
        <f>IF(ISNUMBER(
   IF(D_I="SI",(Datos!K18-Datos!U18)/Datos!U18,(Datos!K18+Datos!AE18-(Datos!U18+Datos!AM18))/(Datos!U18+Datos!AM18))
     ),IF(D_I="SI",(Datos!K18-Datos!U18)/Datos!U18,(Datos!K18+Datos!AE18-(Datos!U18+Datos!AM18))/(Datos!U18+Datos!AM18))," - ")</f>
        <v>0.1180952380952381</v>
      </c>
      <c r="G18" s="358">
        <f>IF(ISNUMBER(
   IF(D_I="SI",(Datos!L18-Datos!V18)/Datos!V18,(Datos!L18+Datos!AF18-(Datos!V18+Datos!AN18))/(Datos!V18+Datos!AN18))
     ),IF(D_I="SI",(Datos!L18-Datos!V18)/Datos!V18,(Datos!L18+Datos!AF18-(Datos!V18+Datos!AN18))/(Datos!V18+Datos!AN18))," - ")</f>
        <v>1.8377693282636248E-2</v>
      </c>
      <c r="H18" s="359">
        <f>IF(ISNUMBER((Datos!M18-Datos!W18)/Datos!W18),(Datos!M18-Datos!W18)/Datos!W18," - ")</f>
        <v>-0.29207920792079206</v>
      </c>
      <c r="I18" s="360">
        <f>IF(ISNUMBER((Tasas!C18-Datos!BE18)/Datos!BE18),(Tasas!C18-Datos!BE18)/Datos!BE18," - ")</f>
        <v>-8.9185197660333754E-2</v>
      </c>
      <c r="J18" s="358">
        <f>IF(ISNUMBER((Tasas!D18-Datos!BF18)/Datos!BF18),(Tasas!D18-Datos!BF18)/Datos!BF18," - ")</f>
        <v>-0.36685108033801683</v>
      </c>
      <c r="K18" s="361">
        <f>IF(ISNUMBER((Tasas!E18-Datos!BG18)/Datos!BG18),(Tasas!E18-Datos!BG18)/Datos!BG18," - ")</f>
        <v>-4.2878437576052579E-2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0.21532909434610759</v>
      </c>
      <c r="E19" s="366">
        <f>IF(ISNUMBER(
   IF(J_V="SI",(Datos!J19-Datos!T19)/Datos!T19,(Datos!J19+Datos!Z19-(Datos!T19+Datos!AH19))/(Datos!T19+Datos!AH19))
     ),IF(J_V="SI",(Datos!J19-Datos!T19)/Datos!T19,(Datos!J19+Datos!Z19-(Datos!T19+Datos!AH19))/(Datos!T19+Datos!AH19))," - ")</f>
        <v>-3.939592908732764E-3</v>
      </c>
      <c r="F19" s="366">
        <f>IF(ISNUMBER(
   IF(J_V="SI",(Datos!K19-Datos!U19)/Datos!U19,(Datos!K19+Datos!AA19-(Datos!U19+Datos!AI19))/(Datos!U19+Datos!AI19))
     ),IF(J_V="SI",(Datos!K19-Datos!U19)/Datos!U19,(Datos!K19+Datos!AA19-(Datos!U19+Datos!AI19))/(Datos!U19+Datos!AI19))," - ")</f>
        <v>0.132703081232493</v>
      </c>
      <c r="G19" s="367">
        <f>IF(ISNUMBER(
   IF(J_V="SI",(Datos!L19-Datos!V19)/Datos!V19,(Datos!L19+Datos!AB19-(Datos!V19+Datos!AJ19))/(Datos!V19+Datos!AJ19))
     ),IF(J_V="SI",(Datos!L19-Datos!V19)/Datos!V19,(Datos!L19+Datos!AB19-(Datos!V19+Datos!AJ19))/(Datos!V19+Datos!AJ19))," - ")</f>
        <v>0.14221705940922669</v>
      </c>
      <c r="H19" s="368">
        <f>IF(ISNUMBER((Datos!M19-Datos!W19)/Datos!W19),(Datos!M19-Datos!W19)/Datos!W19," - ")</f>
        <v>-8.2073434125269976E-2</v>
      </c>
      <c r="I19" s="365">
        <f>IF(ISNUMBER((Tasas!C19-Datos!BE19)/Datos!BE19),(Tasas!C19-Datos!BE19)/Datos!BE19," - ")</f>
        <v>8.3993575495367231E-3</v>
      </c>
      <c r="J19" s="366">
        <f>IF(ISNUMBER((Tasas!D19-Datos!BF19)/Datos!BF19),(Tasas!D19-Datos!BF19)/Datos!BF19," - ")</f>
        <v>-0.57265529005432469</v>
      </c>
      <c r="K19" s="367">
        <f>IF(ISNUMBER((Tasas!E19-Datos!BG19)/Datos!BG19),(Tasas!E19-Datos!BG19)/Datos!BG19," - ")</f>
        <v>6.4320814274916819E-3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0.1504851823495707</v>
      </c>
      <c r="E21" s="281">
        <f t="shared" si="1"/>
        <v>1.087030025978355</v>
      </c>
      <c r="F21" s="281">
        <f t="shared" si="1"/>
        <v>0.68019844904896898</v>
      </c>
      <c r="G21" s="282">
        <f t="shared" si="1"/>
        <v>8.3579238309523352E-2</v>
      </c>
      <c r="H21" s="288">
        <f t="shared" si="1"/>
        <v>0.3747930394115967</v>
      </c>
      <c r="I21" s="280">
        <f t="shared" si="1"/>
        <v>0.29853986701073437</v>
      </c>
      <c r="J21" s="281">
        <f t="shared" si="1"/>
        <v>0.1909975187228154</v>
      </c>
      <c r="K21" s="282">
        <f t="shared" si="1"/>
        <v>0.25788082168460674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FloChClPuV60vz6HiRP/pOTfyGVOdPq4YEUkFesYn4h9zremkm3SP9pZQiyOfqUufL4XpCWaUk8JsSp+rmKXw==" saltValue="opyfrVY+8O32GCe15Trt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